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PC\Desktop\RENAN\RENAN PREFEITURA\PRESIDENTE DUTRA 2023\LIMPEZA PUBLICA 2024\"/>
    </mc:Choice>
  </mc:AlternateContent>
  <bookViews>
    <workbookView xWindow="0" yWindow="0" windowWidth="20490" windowHeight="7650" tabRatio="695"/>
  </bookViews>
  <sheets>
    <sheet name="CAPA " sheetId="4" r:id="rId1"/>
    <sheet name="RESUMO" sheetId="5" r:id="rId2"/>
    <sheet name="PL-ORÇ (2)" sheetId="12" r:id="rId3"/>
    <sheet name="COMP. CUST" sheetId="6" r:id="rId4"/>
    <sheet name="CRON." sheetId="7" r:id="rId5"/>
    <sheet name="BDI" sheetId="10" r:id="rId6"/>
    <sheet name="MEM. CALC" sheetId="9" r:id="rId7"/>
    <sheet name="RUAS " sheetId="11" r:id="rId8"/>
  </sheets>
  <externalReferences>
    <externalReference r:id="rId9"/>
  </externalReferences>
  <definedNames>
    <definedName name="_xlnm.Print_Area" localSheetId="5">BDI!$A$1:$C$52</definedName>
    <definedName name="_xlnm.Print_Area" localSheetId="0">'CAPA '!$B$2:$L$106</definedName>
    <definedName name="_xlnm.Print_Area" localSheetId="3">'COMP. CUST'!$A$2:$J$124</definedName>
    <definedName name="_xlnm.Print_Area" localSheetId="4">CRON.!$A$1:$AB$27</definedName>
    <definedName name="_xlnm.Print_Area" localSheetId="6">'MEM. CALC'!$B$1:$J$203</definedName>
    <definedName name="_xlnm.Print_Area" localSheetId="2">'PL-ORÇ (2)'!$A$1:$J$41</definedName>
    <definedName name="_xlnm.Print_Area" localSheetId="1">RESUMO!$B$2:$L$52</definedName>
  </definedNames>
  <calcPr calcId="162913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18" i="5" l="1"/>
  <c r="B17" i="7" s="1"/>
  <c r="E16" i="5"/>
  <c r="B16" i="7" s="1"/>
  <c r="E14" i="5"/>
  <c r="B15" i="7" s="1"/>
  <c r="E12" i="5"/>
  <c r="B14" i="7" s="1"/>
  <c r="H63" i="6"/>
  <c r="K41" i="12"/>
  <c r="H68" i="6"/>
  <c r="I101" i="6"/>
  <c r="J101" i="6" s="1"/>
  <c r="H119" i="6"/>
  <c r="I113" i="6"/>
  <c r="J113" i="6" s="1"/>
  <c r="J117" i="6" s="1"/>
  <c r="F117" i="6" s="1"/>
  <c r="H99" i="6"/>
  <c r="F97" i="6"/>
  <c r="I91" i="6"/>
  <c r="J91" i="6" s="1"/>
  <c r="H89" i="6"/>
  <c r="F87" i="6"/>
  <c r="I81" i="6"/>
  <c r="J81" i="6" s="1"/>
  <c r="H74" i="6"/>
  <c r="F72" i="6"/>
  <c r="I70" i="6"/>
  <c r="J70" i="6" s="1"/>
  <c r="I52" i="6"/>
  <c r="J52" i="6" s="1"/>
  <c r="J61" i="6" s="1"/>
  <c r="H79" i="6"/>
  <c r="I76" i="6"/>
  <c r="J76" i="6" s="1"/>
  <c r="H104" i="6"/>
  <c r="H109" i="6"/>
  <c r="F107" i="6"/>
  <c r="I21" i="6"/>
  <c r="J21" i="6" s="1"/>
  <c r="J30" i="6" s="1"/>
  <c r="F30" i="6" s="1"/>
  <c r="I10" i="6"/>
  <c r="J10" i="6" s="1"/>
  <c r="J17" i="6" s="1"/>
  <c r="F17" i="6" s="1"/>
  <c r="F61" i="6" l="1"/>
  <c r="J12" i="6" l="1"/>
  <c r="H20" i="12"/>
  <c r="H14" i="12"/>
  <c r="H17" i="12"/>
  <c r="H19" i="12"/>
  <c r="H18" i="12"/>
  <c r="F11" i="12"/>
  <c r="H40" i="6" s="1"/>
  <c r="F9" i="12"/>
  <c r="F8" i="12"/>
  <c r="H19" i="6" s="1"/>
  <c r="H36" i="12"/>
  <c r="H35" i="12"/>
  <c r="I35" i="12" s="1"/>
  <c r="H34" i="12"/>
  <c r="I34" i="12" s="1"/>
  <c r="H32" i="12"/>
  <c r="I32" i="12" s="1"/>
  <c r="H31" i="12"/>
  <c r="I31" i="12" s="1"/>
  <c r="H30" i="12"/>
  <c r="I30" i="12" s="1"/>
  <c r="H29" i="12"/>
  <c r="I29" i="12" s="1"/>
  <c r="H28" i="12"/>
  <c r="I28" i="12" s="1"/>
  <c r="H26" i="12"/>
  <c r="I26" i="12" s="1"/>
  <c r="H25" i="12"/>
  <c r="I25" i="12" s="1"/>
  <c r="H24" i="12"/>
  <c r="I24" i="12" s="1"/>
  <c r="H21" i="12"/>
  <c r="H16" i="12"/>
  <c r="G15" i="12"/>
  <c r="G12" i="12"/>
  <c r="C12" i="12"/>
  <c r="G11" i="12"/>
  <c r="C11" i="12"/>
  <c r="H9" i="12"/>
  <c r="H8" i="12"/>
  <c r="H11" i="12" l="1"/>
  <c r="I36" i="6"/>
  <c r="J36" i="6" s="1"/>
  <c r="J38" i="6" s="1"/>
  <c r="F38" i="6" s="1"/>
  <c r="H12" i="12"/>
  <c r="I42" i="6"/>
  <c r="J42" i="6" s="1"/>
  <c r="J46" i="6" s="1"/>
  <c r="F46" i="6" s="1"/>
  <c r="F12" i="12"/>
  <c r="H48" i="6" s="1"/>
  <c r="H32" i="6"/>
  <c r="I36" i="12"/>
  <c r="J119" i="6" s="1"/>
  <c r="J111" i="6" s="1"/>
  <c r="J118" i="6"/>
  <c r="F118" i="6"/>
  <c r="H15" i="12"/>
  <c r="I65" i="6"/>
  <c r="J65" i="6"/>
  <c r="I20" i="12"/>
  <c r="J104" i="6" s="1"/>
  <c r="J103" i="6"/>
  <c r="F103" i="6"/>
  <c r="I16" i="12"/>
  <c r="J74" i="6" s="1"/>
  <c r="J73" i="6"/>
  <c r="F73" i="6"/>
  <c r="I18" i="12"/>
  <c r="J89" i="6" s="1"/>
  <c r="F88" i="6"/>
  <c r="J88" i="6"/>
  <c r="F18" i="6"/>
  <c r="J18" i="6"/>
  <c r="I21" i="12"/>
  <c r="J109" i="6" s="1"/>
  <c r="J108" i="6"/>
  <c r="F108" i="6"/>
  <c r="I19" i="12"/>
  <c r="J99" i="6" s="1"/>
  <c r="J98" i="6"/>
  <c r="F98" i="6"/>
  <c r="I17" i="12"/>
  <c r="J79" i="6" s="1"/>
  <c r="J78" i="6"/>
  <c r="F78" i="6"/>
  <c r="F31" i="6"/>
  <c r="J31" i="6"/>
  <c r="I14" i="12"/>
  <c r="J63" i="6" s="1"/>
  <c r="F62" i="6"/>
  <c r="J62" i="6" s="1"/>
  <c r="I9" i="12"/>
  <c r="J32" i="6" s="1"/>
  <c r="I8" i="12"/>
  <c r="I33" i="12"/>
  <c r="I23" i="12"/>
  <c r="I12" i="12"/>
  <c r="J48" i="6" s="1"/>
  <c r="I27" i="12"/>
  <c r="J39" i="6" l="1"/>
  <c r="F39" i="6"/>
  <c r="I7" i="12"/>
  <c r="K12" i="5" s="1"/>
  <c r="D14" i="7" s="1"/>
  <c r="J19" i="6"/>
  <c r="J8" i="6" s="1"/>
  <c r="F67" i="6"/>
  <c r="J67" i="6"/>
  <c r="I15" i="12"/>
  <c r="J47" i="6"/>
  <c r="F47" i="6"/>
  <c r="I11" i="12"/>
  <c r="J40" i="6" s="1"/>
  <c r="J34" i="6" s="1"/>
  <c r="I22" i="12"/>
  <c r="K18" i="5" s="1"/>
  <c r="D17" i="7" s="1"/>
  <c r="I10" i="12" l="1"/>
  <c r="K14" i="5" s="1"/>
  <c r="D15" i="7" s="1"/>
  <c r="I13" i="12"/>
  <c r="J68" i="6"/>
  <c r="J50" i="6" s="1"/>
  <c r="I37" i="12" l="1"/>
  <c r="I38" i="12" s="1"/>
  <c r="K16" i="5"/>
  <c r="D16" i="7" s="1"/>
  <c r="D44" i="11"/>
  <c r="F4" i="11"/>
  <c r="F5" i="11"/>
  <c r="F6" i="11"/>
  <c r="F7" i="11"/>
  <c r="F8" i="11"/>
  <c r="F9" i="11"/>
  <c r="F10" i="11"/>
  <c r="F11" i="11"/>
  <c r="F12" i="11"/>
  <c r="F13" i="11"/>
  <c r="F14" i="11"/>
  <c r="F15" i="11"/>
  <c r="F16" i="11"/>
  <c r="F17" i="11"/>
  <c r="F18" i="11"/>
  <c r="F19" i="11"/>
  <c r="F20" i="11"/>
  <c r="F21" i="11"/>
  <c r="F22" i="11"/>
  <c r="F23" i="11"/>
  <c r="F24" i="11"/>
  <c r="F25" i="11"/>
  <c r="F26" i="11"/>
  <c r="F27" i="11"/>
  <c r="F28" i="11"/>
  <c r="F29" i="11"/>
  <c r="F30" i="11"/>
  <c r="F31" i="11"/>
  <c r="F32" i="11"/>
  <c r="F33" i="11"/>
  <c r="F34" i="11"/>
  <c r="F35" i="11"/>
  <c r="F36" i="11"/>
  <c r="F37" i="11"/>
  <c r="F38" i="11"/>
  <c r="F39" i="11"/>
  <c r="F40" i="11"/>
  <c r="F41" i="11"/>
  <c r="F42" i="11"/>
  <c r="F43" i="11"/>
  <c r="F3" i="11"/>
  <c r="I25" i="9"/>
  <c r="I68" i="9"/>
  <c r="J68" i="9" s="1"/>
  <c r="I67" i="9"/>
  <c r="K40" i="12" l="1"/>
  <c r="F44" i="11"/>
  <c r="A41" i="10"/>
  <c r="C17" i="10"/>
  <c r="C37" i="10" s="1"/>
  <c r="I158" i="9" l="1"/>
  <c r="I159" i="9" s="1"/>
  <c r="I157" i="9"/>
  <c r="H141" i="9"/>
  <c r="I137" i="9"/>
  <c r="I136" i="9"/>
  <c r="H122" i="9"/>
  <c r="H114" i="9"/>
  <c r="I114" i="9" s="1"/>
  <c r="H115" i="9"/>
  <c r="I115" i="9" s="1"/>
  <c r="J115" i="9" s="1"/>
  <c r="H112" i="9"/>
  <c r="I104" i="9"/>
  <c r="I108" i="9" s="1"/>
  <c r="I160" i="9" l="1"/>
  <c r="I162" i="9" s="1"/>
  <c r="I163" i="9" s="1"/>
  <c r="I161" i="9" l="1"/>
  <c r="H102" i="9"/>
  <c r="I102" i="9" s="1"/>
  <c r="J102" i="9" s="1"/>
  <c r="I101" i="9"/>
  <c r="J101" i="9" s="1"/>
  <c r="I95" i="9"/>
  <c r="H88" i="9"/>
  <c r="I74" i="9"/>
  <c r="I76" i="9" s="1"/>
  <c r="I78" i="9" s="1"/>
  <c r="I79" i="9" s="1"/>
  <c r="I80" i="9" s="1"/>
  <c r="I63" i="9"/>
  <c r="I69" i="9" s="1"/>
  <c r="I70" i="9" s="1"/>
  <c r="I51" i="9"/>
  <c r="J50" i="9"/>
  <c r="I44" i="9"/>
  <c r="I45" i="9" s="1"/>
  <c r="I38" i="9"/>
  <c r="J38" i="9" s="1"/>
  <c r="I31" i="9"/>
  <c r="I24" i="9"/>
  <c r="I40" i="9" l="1"/>
  <c r="I43" i="9" s="1"/>
  <c r="J43" i="9" s="1"/>
  <c r="I46" i="9" s="1"/>
  <c r="I52" i="9"/>
  <c r="I53" i="9" s="1"/>
  <c r="I54" i="9" s="1"/>
  <c r="I55" i="9" s="1"/>
  <c r="I56" i="9" s="1"/>
  <c r="I81" i="9"/>
  <c r="I82" i="9" s="1"/>
  <c r="J82" i="9" s="1"/>
  <c r="I131" i="9"/>
  <c r="I148" i="9" s="1"/>
  <c r="I32" i="9"/>
  <c r="I58" i="9" l="1"/>
  <c r="I59" i="9" s="1"/>
  <c r="J59" i="9" s="1"/>
  <c r="I130" i="9"/>
  <c r="I19" i="9"/>
  <c r="I18" i="9"/>
  <c r="I85" i="9" l="1"/>
  <c r="I140" i="9"/>
  <c r="I143" i="9" s="1"/>
  <c r="I118" i="9"/>
  <c r="I120" i="9" s="1"/>
  <c r="I121" i="9" s="1"/>
  <c r="I123" i="9" s="1"/>
  <c r="I147" i="9"/>
  <c r="I124" i="9" l="1"/>
  <c r="I125" i="9" s="1"/>
  <c r="I126" i="9" s="1"/>
  <c r="J126" i="9" s="1"/>
  <c r="I129" i="9"/>
  <c r="I144" i="9"/>
  <c r="I145" i="9"/>
  <c r="I88" i="9"/>
  <c r="I90" i="9" s="1"/>
  <c r="I105" i="9"/>
  <c r="I106" i="9" s="1"/>
  <c r="I107" i="9" s="1"/>
  <c r="I109" i="9" s="1"/>
  <c r="I146" i="9" l="1"/>
  <c r="I149" i="9" s="1"/>
  <c r="J131" i="9"/>
  <c r="I91" i="9"/>
  <c r="I93" i="9" s="1"/>
  <c r="I94" i="9" s="1"/>
  <c r="I96" i="9" s="1"/>
  <c r="I89" i="9"/>
  <c r="I132" i="9" l="1"/>
  <c r="J132" i="9" s="1"/>
  <c r="I151" i="9"/>
  <c r="F15" i="7"/>
  <c r="H15" i="7" s="1"/>
  <c r="J15" i="7" s="1"/>
  <c r="L15" i="7" s="1"/>
  <c r="N15" i="7" s="1"/>
  <c r="P15" i="7" s="1"/>
  <c r="R15" i="7" s="1"/>
  <c r="T15" i="7" s="1"/>
  <c r="V15" i="7" s="1"/>
  <c r="X15" i="7" s="1"/>
  <c r="Z15" i="7" s="1"/>
  <c r="AB15" i="7" s="1"/>
  <c r="F17" i="7"/>
  <c r="H17" i="7" s="1"/>
  <c r="J17" i="7" s="1"/>
  <c r="L17" i="7" s="1"/>
  <c r="N17" i="7" s="1"/>
  <c r="P17" i="7" s="1"/>
  <c r="R17" i="7" s="1"/>
  <c r="T17" i="7" s="1"/>
  <c r="V17" i="7" s="1"/>
  <c r="X17" i="7" s="1"/>
  <c r="Z17" i="7" s="1"/>
  <c r="AB17" i="7" s="1"/>
  <c r="F16" i="7"/>
  <c r="H16" i="7" s="1"/>
  <c r="J16" i="7" s="1"/>
  <c r="L16" i="7" s="1"/>
  <c r="N16" i="7" s="1"/>
  <c r="P16" i="7" s="1"/>
  <c r="R16" i="7" s="1"/>
  <c r="T16" i="7" s="1"/>
  <c r="V16" i="7" s="1"/>
  <c r="X16" i="7" s="1"/>
  <c r="Z16" i="7" s="1"/>
  <c r="AB16" i="7" s="1"/>
  <c r="F14" i="7" l="1"/>
  <c r="H14" i="7" l="1"/>
  <c r="K20" i="5" l="1"/>
  <c r="E19" i="7"/>
  <c r="E21" i="7" s="1"/>
  <c r="D19" i="7"/>
  <c r="G19" i="7"/>
  <c r="J14" i="7"/>
  <c r="K22" i="5" l="1"/>
  <c r="L12" i="5"/>
  <c r="L18" i="5"/>
  <c r="L16" i="5"/>
  <c r="L14" i="5"/>
  <c r="C14" i="7"/>
  <c r="C15" i="7"/>
  <c r="C17" i="7"/>
  <c r="C16" i="7"/>
  <c r="L14" i="7"/>
  <c r="I19" i="7"/>
  <c r="G21" i="7"/>
  <c r="L20" i="5" l="1"/>
  <c r="C24" i="7"/>
  <c r="I21" i="7"/>
  <c r="K19" i="7"/>
  <c r="N14" i="7"/>
  <c r="P14" i="7" l="1"/>
  <c r="M19" i="7"/>
  <c r="K21" i="7"/>
  <c r="M21" i="7" l="1"/>
  <c r="O19" i="7"/>
  <c r="R14" i="7"/>
  <c r="T14" i="7" l="1"/>
  <c r="Q19" i="7"/>
  <c r="O21" i="7"/>
  <c r="Q21" i="7" l="1"/>
  <c r="V14" i="7"/>
  <c r="S19" i="7"/>
  <c r="X14" i="7" l="1"/>
  <c r="U19" i="7"/>
  <c r="S21" i="7"/>
  <c r="W19" i="7" l="1"/>
  <c r="Z14" i="7"/>
  <c r="U21" i="7"/>
  <c r="AB14" i="7" l="1"/>
  <c r="AA19" i="7" s="1"/>
  <c r="Y19" i="7"/>
  <c r="W21" i="7"/>
  <c r="Y21" i="7" l="1"/>
  <c r="AA21" i="7" s="1"/>
  <c r="F24" i="7" l="1"/>
  <c r="H24" i="7"/>
  <c r="J24" i="7"/>
  <c r="L24" i="7"/>
  <c r="N24" i="7"/>
  <c r="P24" i="7"/>
  <c r="R24" i="7"/>
  <c r="T24" i="7"/>
  <c r="V24" i="7"/>
  <c r="X24" i="7"/>
  <c r="Z24" i="7"/>
  <c r="AB24" i="7"/>
</calcChain>
</file>

<file path=xl/sharedStrings.xml><?xml version="1.0" encoding="utf-8"?>
<sst xmlns="http://schemas.openxmlformats.org/spreadsheetml/2006/main" count="1195" uniqueCount="557">
  <si>
    <t xml:space="preserve">ITEM </t>
  </si>
  <si>
    <t xml:space="preserve">DESCRIÇÃO </t>
  </si>
  <si>
    <t>1.1</t>
  </si>
  <si>
    <t>SINAPI</t>
  </si>
  <si>
    <t>1.2</t>
  </si>
  <si>
    <t>2.1</t>
  </si>
  <si>
    <t>2.2</t>
  </si>
  <si>
    <t>3.1</t>
  </si>
  <si>
    <t>3.2</t>
  </si>
  <si>
    <t>3.3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</si>
  <si>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</si>
  <si>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</si>
  <si>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</si>
  <si>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</si>
  <si>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</si>
  <si>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</si>
  <si>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</si>
  <si>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</si>
  <si>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</si>
  <si>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6.1</t>
  </si>
  <si>
    <t>6.2</t>
  </si>
  <si>
    <t>7.1</t>
  </si>
  <si>
    <t>7.2</t>
  </si>
  <si>
    <t>7.3</t>
  </si>
  <si>
    <t>7.4</t>
  </si>
  <si>
    <t>7.5</t>
  </si>
  <si>
    <t>7.6</t>
  </si>
  <si>
    <t>7.7</t>
  </si>
  <si>
    <t>7.8</t>
  </si>
  <si>
    <t>7.9</t>
  </si>
  <si>
    <t>7.10</t>
  </si>
  <si>
    <t>ORSE</t>
  </si>
  <si>
    <t>Item</t>
  </si>
  <si>
    <t>Descrição</t>
  </si>
  <si>
    <t>Total</t>
  </si>
  <si>
    <t>Peso (%)</t>
  </si>
  <si>
    <t xml:space="preserve"> 1 </t>
  </si>
  <si>
    <t xml:space="preserve"> 2 </t>
  </si>
  <si>
    <t xml:space="preserve"> 3 </t>
  </si>
  <si>
    <t xml:space="preserve"> 4 </t>
  </si>
  <si>
    <t>Código</t>
  </si>
  <si>
    <t>Banco</t>
  </si>
  <si>
    <t>Tipo</t>
  </si>
  <si>
    <t>Und</t>
  </si>
  <si>
    <t>Quant.</t>
  </si>
  <si>
    <t>Valor Unit</t>
  </si>
  <si>
    <t>Insumo</t>
  </si>
  <si>
    <t>Mão de Obra</t>
  </si>
  <si>
    <t>Valor com BDI =&gt;</t>
  </si>
  <si>
    <t>Quant. =&gt;</t>
  </si>
  <si>
    <t>Preço Total =&gt;</t>
  </si>
  <si>
    <t>Composição</t>
  </si>
  <si>
    <t>CAMINHÃO BASCULANTE 6 M3 TOCO, PESO BRUTO TOTAL 16.000 KG, CARGA ÚTIL MÁXIMA 11.130 KG, DISTÂNCIA ENTRE EIXOS 5,36 M, POTÊNCIA 185 CV, INCLUSIVE CAÇAMBA METÁLICA - MATERIAIS NA OPERAÇÃO. AF_06/2014</t>
  </si>
  <si>
    <t>CHOR - CUSTOS HORÁRIOS DE MÁQUINAS E EQUIPAMENTOS</t>
  </si>
  <si>
    <t xml:space="preserve"> 00004221 </t>
  </si>
  <si>
    <t>OLEO DIESEL COMBUSTIVEL COMUM</t>
  </si>
  <si>
    <t>Material</t>
  </si>
  <si>
    <t xml:space="preserve"> 00004222 </t>
  </si>
  <si>
    <t>GASOLINA COMUM</t>
  </si>
  <si>
    <t>Composição Auxiliar</t>
  </si>
  <si>
    <t xml:space="preserve"> 88324 </t>
  </si>
  <si>
    <t>TRATORISTA COM ENCARGOS COMPLEMENTARES</t>
  </si>
  <si>
    <t>SEDI - SERVIÇOS DIVERSOS</t>
  </si>
  <si>
    <t xml:space="preserve"> 5678 </t>
  </si>
  <si>
    <t>RETROESCAVADEIRA SOBRE RODAS COM CARREGADEIRA, TRAÇÃO 4X4, POTÊNCIA LÍQ. 88 HP, CAÇAMBA CARREG. CAP. MÍN. 1 M3, CAÇAMBA RETRO CAP. 0,26 M3, PESO OPERACIONAL MÍN. 6.674 KG, PROFUNDIDADE ESCAVAÇÃO MÁX. 4,37 M - CHP DIURNO. AF_06/2014</t>
  </si>
  <si>
    <t xml:space="preserve"> 5664 </t>
  </si>
  <si>
    <t>RETROESCAVADEIRA SOBRE RODAS COM CARREGADEIRA, TRAÇÃO 4X4, POTÊNCIA LÍQ. 88 HP, CAÇAMBA CARREG. CAP. MÍN. 1 M3, CAÇAMBA RETRO CAP. 0,26 M3, PESO OPERACIONAL MÍN. 6.674 KG, PROFUNDIDADE ESCAVAÇÃO MÁX. 4,37 M - MANUTENÇÃO. AF_06/2014</t>
  </si>
  <si>
    <t xml:space="preserve"> 88858 </t>
  </si>
  <si>
    <t>RETROESCAVADEIRA SOBRE RODAS COM CARREGADEIRA, TRAÇÃO 4X4, POTÊNCIA LÍQ. 88 HP, CAÇAMBA CARREG. CAP. MÍN. 1 M3, CAÇAMBA RETRO CAP. 0,26 M3, PESO OPERACIONAL MÍN. 6.674 KG, PROFUNDIDADE ESCAVAÇÃO MÁX. 4,37 M - JUROS. AF_06/2014</t>
  </si>
  <si>
    <t xml:space="preserve"> 88857 </t>
  </si>
  <si>
    <t>RETROESCAVADEIRA SOBRE RODAS COM CARREGADEIRA, TRAÇÃO 4X4, POTÊNCIA LÍQ. 88 HP, CAÇAMBA CARREG. CAP. MÍN. 1 M3, CAÇAMBA RETRO CAP. 0,26 M3, PESO OPERACIONAL MÍN. 6.674 KG, PROFUNDIDADE ESCAVAÇÃO MÁX. 4,37 M - DEPRECIAÇÃO. AF_06/2014</t>
  </si>
  <si>
    <t xml:space="preserve"> 53786 </t>
  </si>
  <si>
    <t>RETROESCAVADEIRA SOBRE RODAS COM CARREGADEIRA, TRAÇÃO 4X4, POTÊNCIA LÍQ. 88 HP, CAÇAMBA CARREG. CAP. MÍN. 1 M3, CAÇAMBA RETRO CAP. 0,26 M3, PESO OPERACIONAL MÍN. 6.674 KG, PROFUNDIDADE ESCAVAÇÃO MÁX. 4,37 M - MATERIAIS NA OPERAÇÃO. AF_06/2014</t>
  </si>
  <si>
    <t xml:space="preserve"> 88294 </t>
  </si>
  <si>
    <t>OPERADOR DE ESCAVADEIRA COM ENCARGOS COMPLEMENTARES</t>
  </si>
  <si>
    <t xml:space="preserve"> 00011161 </t>
  </si>
  <si>
    <t>CAL HIDRATADA PARA PINTURA</t>
  </si>
  <si>
    <t>KG</t>
  </si>
  <si>
    <t>Equipamento</t>
  </si>
  <si>
    <t xml:space="preserve">% DO ITEM </t>
  </si>
  <si>
    <t xml:space="preserve">VALOR DO ITEM </t>
  </si>
  <si>
    <t>%</t>
  </si>
  <si>
    <t xml:space="preserve">VALOR </t>
  </si>
  <si>
    <t>30 DIAS</t>
  </si>
  <si>
    <t>60 DIAS</t>
  </si>
  <si>
    <t>90 DIAS</t>
  </si>
  <si>
    <t>120 DIAS</t>
  </si>
  <si>
    <t>150 DIAS</t>
  </si>
  <si>
    <t>180DIAS</t>
  </si>
  <si>
    <t>210 DIAS</t>
  </si>
  <si>
    <t>240 DIAS</t>
  </si>
  <si>
    <t>300 DIAS</t>
  </si>
  <si>
    <t>330 DIAS</t>
  </si>
  <si>
    <t>360 DIAS</t>
  </si>
  <si>
    <t>270 DIAS</t>
  </si>
  <si>
    <t>1.0</t>
  </si>
  <si>
    <t>2.0</t>
  </si>
  <si>
    <t>3.0</t>
  </si>
  <si>
    <t>4.0</t>
  </si>
  <si>
    <t>5.0</t>
  </si>
  <si>
    <t>6.0</t>
  </si>
  <si>
    <t>7.0</t>
  </si>
  <si>
    <t>TOTAL PERIODO (R$)</t>
  </si>
  <si>
    <t>TOTAL PERIODO (%)</t>
  </si>
  <si>
    <t>TOTAL  ACUMULADO PERIODO (R$)</t>
  </si>
  <si>
    <t>CRONOGRAMA</t>
  </si>
  <si>
    <t xml:space="preserve">MEMORIA DE CÁLCULO </t>
  </si>
  <si>
    <t>ITEM</t>
  </si>
  <si>
    <t>DESCRIÇÃO DOS SERVIÇOS</t>
  </si>
  <si>
    <t>QUANTIDADE  TOTAL</t>
  </si>
  <si>
    <t>UNID</t>
  </si>
  <si>
    <t xml:space="preserve">COEFICIENTE </t>
  </si>
  <si>
    <t>QUANT.</t>
  </si>
  <si>
    <t xml:space="preserve">EXTENÇÕES DE RUAS </t>
  </si>
  <si>
    <t>m</t>
  </si>
  <si>
    <t>M</t>
  </si>
  <si>
    <t>POPULAÇÃO ESTIMADA PARA 2021</t>
  </si>
  <si>
    <t>DISTANCIA DO CENTRO GEOMETRICO DA CIDADE PARA O ATERRO CONTROLADO</t>
  </si>
  <si>
    <t>POPULAÇÃO RURAL ESTIMADA PARA 2022</t>
  </si>
  <si>
    <t>PUPULAÇÃO URBANA ESTIMADA PARA 2022</t>
  </si>
  <si>
    <t>km</t>
  </si>
  <si>
    <t>hab</t>
  </si>
  <si>
    <t xml:space="preserve">VELOCIDADE DE VARRIÇÃO </t>
  </si>
  <si>
    <t xml:space="preserve">GARI VARRIÇÃO </t>
  </si>
  <si>
    <t xml:space="preserve">JORNADA DIARIA </t>
  </si>
  <si>
    <t xml:space="preserve">PRODUÇÃO  DIARIA TOTAL  DE VARRIÇÃO POR GARI </t>
  </si>
  <si>
    <t xml:space="preserve">EXTENSÃO DAS RUAS PAVIMENTADAS 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</si>
  <si>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</si>
  <si>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</si>
  <si>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</si>
  <si>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</si>
  <si>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</si>
  <si>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</si>
  <si>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</si>
  <si>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</si>
  <si>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</si>
  <si>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2.12</t>
  </si>
  <si>
    <t>2.13</t>
  </si>
  <si>
    <t>EXTENÇÃO LINHA D'AGUA  DAS RUAS DAS ZONAS PERIFERICAS</t>
  </si>
  <si>
    <t>EXTENSÃO DA LINHA D'ÁGUA DAS RUAS DO CENTRO</t>
  </si>
  <si>
    <t>FREQUENCIA DE VARRIÇÃO NO CENTRO</t>
  </si>
  <si>
    <t>EXTENSÃO LINHA D'ÁGUA DAS RUAS DAS ZONAS PERIFERICAS</t>
  </si>
  <si>
    <t>FREQUENCIA DE VARRIÇÃO NA PERIFERIA</t>
  </si>
  <si>
    <t>EXTENSÃO DAS RUAS DE CADA ZONA PERIFERICA</t>
  </si>
  <si>
    <t xml:space="preserve">EXTENÇÃO DIARIA TOTAL DE VARRIÇÃO DO CENTRO E PERIFERIA </t>
  </si>
  <si>
    <t>QUANTIDADE DE GARIS (EXT LINEAR TOTAL/PROD POR GARI</t>
  </si>
  <si>
    <t>EQUIPE DE VARRIÇÃO (3 GARI), 2 VARRENDO, 1 ENSACANDO</t>
  </si>
  <si>
    <t>m/h</t>
  </si>
  <si>
    <t>h</t>
  </si>
  <si>
    <t>dia</t>
  </si>
  <si>
    <t>unid</t>
  </si>
  <si>
    <t>equipe</t>
  </si>
  <si>
    <t>gari</t>
  </si>
  <si>
    <t xml:space="preserve">PLANO DE CAPINAÇÃO </t>
  </si>
  <si>
    <t>PLANO DE CAPINAÇÃO</t>
  </si>
  <si>
    <t>LINHA D`ÁGUA TOTAL</t>
  </si>
  <si>
    <t>LARGURA DA LINHA D`ÁGUA OU SARJETA</t>
  </si>
  <si>
    <t>ÁREA TOTAL DA LINHA D´ÁGUA</t>
  </si>
  <si>
    <t>REDIMENTO ESTIMADO DO GARI DE CAPINAÇÃO</t>
  </si>
  <si>
    <t>FREQUÊNCIA DE CAPINAÇÃO</t>
  </si>
  <si>
    <t>ÁREA CAPINADA POR MÊS</t>
  </si>
  <si>
    <t>PRODUÇÃO DE ÁREA CAPINADA POR SEMANA (44 h)</t>
  </si>
  <si>
    <t xml:space="preserve">PRODUÇÃO DE ÁREA CAPINADA POR UM GARI (MÊS) </t>
  </si>
  <si>
    <t xml:space="preserve">N.º DE GARI (UM C/ ROÇADEIRA E DOIS COM TELA) </t>
  </si>
  <si>
    <t>3.4</t>
  </si>
  <si>
    <t>3.5</t>
  </si>
  <si>
    <t>3.6</t>
  </si>
  <si>
    <t>3.7</t>
  </si>
  <si>
    <t>3.8</t>
  </si>
  <si>
    <t>3.9</t>
  </si>
  <si>
    <t>3.10</t>
  </si>
  <si>
    <t>m²</t>
  </si>
  <si>
    <t>m²/dia</t>
  </si>
  <si>
    <t>m²/mês</t>
  </si>
  <si>
    <t>m²/sem</t>
  </si>
  <si>
    <t>dias</t>
  </si>
  <si>
    <t>PLANO DE COLETA E TRANSP DE VARRIÇÃO/CAPINAÇÃO</t>
  </si>
  <si>
    <t>PESO ESPECIFICO DO LIXO DE VARRIÇÃO</t>
  </si>
  <si>
    <t>REDIMENTO DE COLETA</t>
  </si>
  <si>
    <t>COMPRIMENTO TOTAL DE LINHA D'ÁGUA DAS RUAS VARRIDAS POR SEMANA</t>
  </si>
  <si>
    <t>COMPRIMENTO TOTAL DE LINHA D'ÁGUA DAS RUAS CAPINADAS POR SEMANA</t>
  </si>
  <si>
    <t>COMPRIMENTO TOTAL DE RUAS VARRIDA E CAPINADAS POR SEMANA</t>
  </si>
  <si>
    <t>PESO DO LIXO COLETADO POR SEMANA</t>
  </si>
  <si>
    <t>VOLUME DO LIXO COLETADO POR SEMANA</t>
  </si>
  <si>
    <t>VOLUME DO LIXO COLETADO POR MÊS</t>
  </si>
  <si>
    <t>CAMINHÃO CAÇAMBA TOCO - 6 m³</t>
  </si>
  <si>
    <t>QUANTIDADE DE VIAGENS POR MÊS</t>
  </si>
  <si>
    <t>QUANTIDADE DE VIAGENS POR DIA</t>
  </si>
  <si>
    <t>kg/m³</t>
  </si>
  <si>
    <t>kg/km</t>
  </si>
  <si>
    <t>kg</t>
  </si>
  <si>
    <t>m³</t>
  </si>
  <si>
    <t>viagem</t>
  </si>
  <si>
    <t>4.7</t>
  </si>
  <si>
    <t>4.8</t>
  </si>
  <si>
    <t>4.9</t>
  </si>
  <si>
    <t>4.10</t>
  </si>
  <si>
    <t>4.11</t>
  </si>
  <si>
    <t>PLANO DE COLETA E TRANSPORTE DE RESÍDUO DE PODA</t>
  </si>
  <si>
    <t>RENDIMENTO DE COLETA</t>
  </si>
  <si>
    <t>CONSIDERAR A EXISTENCIA DE ARVORE EM 80% DA QUANTIDADE TOTAL DAS RUAS</t>
  </si>
  <si>
    <t>PESO ESPECIFICO DO LIXO DE PODA</t>
  </si>
  <si>
    <t>COMPRIMENTO  DAS RUAS DE COLETA DE PODA POR MÊS</t>
  </si>
  <si>
    <t>DISTANCIA DO ATERRO</t>
  </si>
  <si>
    <t>COMPRIMENTO TOTAL</t>
  </si>
  <si>
    <t>PESO DO RESÍDUO DE PODA MÊS</t>
  </si>
  <si>
    <t>VOLUME TOTAL DE PODA DO MÊS</t>
  </si>
  <si>
    <t>QUANTIDADE DE VIAGEM MENSAL</t>
  </si>
  <si>
    <t>QUANTIDADE DE VIAGEM POR DIA</t>
  </si>
  <si>
    <t>5.4</t>
  </si>
  <si>
    <t>5.5</t>
  </si>
  <si>
    <t>5.6</t>
  </si>
  <si>
    <t>5.7</t>
  </si>
  <si>
    <t>5.8</t>
  </si>
  <si>
    <t>5.9</t>
  </si>
  <si>
    <t>PLANO DE PODA</t>
  </si>
  <si>
    <t>FREQUENCIA MÉDIA DE PODA</t>
  </si>
  <si>
    <t>REDIMENTO DE PODAÇÃO POR DIA (ARVORE/DIA)</t>
  </si>
  <si>
    <t>DISTÂNCIA MÉDIA ENTRE AS ARVORES</t>
  </si>
  <si>
    <t>DISTÂNCIA PERCORRIDA POR DIA</t>
  </si>
  <si>
    <t>PRODUÇÃO POR SEMANA (44 h)</t>
  </si>
  <si>
    <t xml:space="preserve">PRODUÇÃO POR MÊS </t>
  </si>
  <si>
    <t>PRODUÇÃO POR DIA</t>
  </si>
  <si>
    <t>QUANTIDADE DE GARI</t>
  </si>
  <si>
    <t>arv/dia</t>
  </si>
  <si>
    <t>6.3</t>
  </si>
  <si>
    <t>6.4</t>
  </si>
  <si>
    <t>6.5</t>
  </si>
  <si>
    <t>6.6</t>
  </si>
  <si>
    <t>6.7</t>
  </si>
  <si>
    <t>6.8</t>
  </si>
  <si>
    <t>6.9</t>
  </si>
  <si>
    <t>6.10</t>
  </si>
  <si>
    <t>PLANO DE COLETA E TRANSPORTE DE RESÍDUO DOMICILIARES</t>
  </si>
  <si>
    <t>POPULAÇÃO URBANA ESTIMADA PARA 2021</t>
  </si>
  <si>
    <t>PRODUÇÃO PER CAPITA POR DIA DE LIXO DOMICILIAR</t>
  </si>
  <si>
    <t>DENSIDADE DO LIXO DOMICILIAR</t>
  </si>
  <si>
    <t>PESO TOTAL DO LIXO DOMICILIAR MENSAL</t>
  </si>
  <si>
    <t>VOLUME TOTAL DO LIXO DOMICILIAR MENSAL</t>
  </si>
  <si>
    <t>VOLUME TOTAL DO LIXO DOMICILIAR POR SEMANA</t>
  </si>
  <si>
    <t>OPÇÃO 01 - TRANSPORTE COM CAMINHÃO COMPACTADOR 8T</t>
  </si>
  <si>
    <t>grama</t>
  </si>
  <si>
    <t xml:space="preserve">kg </t>
  </si>
  <si>
    <t>t</t>
  </si>
  <si>
    <t>7.8.1</t>
  </si>
  <si>
    <t>PESO TOTAL DO LIXO DOMICILIAR POR SEMANA</t>
  </si>
  <si>
    <t>CAPACIDADE DE CARGA SEMANAL DO CAMINHÃO COMPACTADOR (8t)</t>
  </si>
  <si>
    <t>QUANTIDADE DE CAMINHÃO COMPACTADOR (8t)</t>
  </si>
  <si>
    <t>7.8.2</t>
  </si>
  <si>
    <t>7.8.3</t>
  </si>
  <si>
    <t>7.8.4</t>
  </si>
  <si>
    <t>CALCULO DO NUMERO DE COLABORADORES COLETORES DE LIXO DOMICILIARES</t>
  </si>
  <si>
    <t>7.9.1</t>
  </si>
  <si>
    <t>7.9.2</t>
  </si>
  <si>
    <t>7.9.3</t>
  </si>
  <si>
    <t>7.9.4</t>
  </si>
  <si>
    <t>7.9.5</t>
  </si>
  <si>
    <t>motorist</t>
  </si>
  <si>
    <t>EQUIPE  GARIS COLETORES POR CAMINHÃO COMPACTADOR</t>
  </si>
  <si>
    <t>MOTORISTA POR CAÇAMBA</t>
  </si>
  <si>
    <t>COEFICIENTE DE SEGURANÇA 10%</t>
  </si>
  <si>
    <t>QUANTIDADE TOTAL DE GARIS</t>
  </si>
  <si>
    <t>QUANTIDADE TOTAL DE MOTORISTAS</t>
  </si>
  <si>
    <t>OPÇÃO 02 - TRANSPORTE COM CAMINHÃO CAÇAMBA TOCO (6 m³)</t>
  </si>
  <si>
    <t>7.10.1</t>
  </si>
  <si>
    <t>PESO TOTAL DO LIXO DOMICILIAR POR MÊS</t>
  </si>
  <si>
    <t>PESO TOTAL DO LIXO DOMICILIAR POR SEMANAL</t>
  </si>
  <si>
    <t>CAPACIDADE DE CARGA MENSAL DO CAMINHÃO CAÇAMBA TOCO (1,80 t) - 1 V DIARIA</t>
  </si>
  <si>
    <t>QUANTIDADE DE CAMINHÃO CAÇAMBA TOCO (1,80 t)</t>
  </si>
  <si>
    <t>7.10.2</t>
  </si>
  <si>
    <t>7.10.3</t>
  </si>
  <si>
    <t>7.10.4</t>
  </si>
  <si>
    <t>7.10.5</t>
  </si>
  <si>
    <t>7.10.6</t>
  </si>
  <si>
    <t>TRANSPORTE COM CAMINHÃO CAÇAMBA - CAP 6 M³</t>
  </si>
  <si>
    <t>7.11</t>
  </si>
  <si>
    <t>7.11.1</t>
  </si>
  <si>
    <t>EQUIPE  GARIS COLETORES POR CAÇAMBA</t>
  </si>
  <si>
    <t>7.11.2</t>
  </si>
  <si>
    <t>7.11.3</t>
  </si>
  <si>
    <t>7.11.4</t>
  </si>
  <si>
    <t>7.11.5</t>
  </si>
  <si>
    <t>8.0</t>
  </si>
  <si>
    <t>PLANO DE COLETA E TRANSPORTE DE ENTULHO</t>
  </si>
  <si>
    <t>PRODUÇÃO PER CAPITA POR ANO DE LIXO ENTULHO</t>
  </si>
  <si>
    <t>PRODUÇÃO DE LIXO ENTULHO POR ANO</t>
  </si>
  <si>
    <t>PRODUÇÃO DE LIXO ENTULHO POR MÊS</t>
  </si>
  <si>
    <t>DENSIDADE DO ENTULHO</t>
  </si>
  <si>
    <t>VOLUME DE ENTULHO POR MÊS</t>
  </si>
  <si>
    <t>QUANTIDADE DE VIAGEM AO MÊS (CAÇAMBA TOCO)</t>
  </si>
  <si>
    <t>QUANTIDADE DE VIAGEM AO SEMANA (CAÇAMBA TOCO)</t>
  </si>
  <si>
    <t>QUANTIDADE DE VIAGEM AO DIA (CAÇAMBA TOCO)</t>
  </si>
  <si>
    <t>8.1</t>
  </si>
  <si>
    <t>8.2</t>
  </si>
  <si>
    <t>8.3</t>
  </si>
  <si>
    <t>8.4</t>
  </si>
  <si>
    <t>8.5</t>
  </si>
  <si>
    <t>8.6</t>
  </si>
  <si>
    <t>8.7</t>
  </si>
  <si>
    <t>8.8</t>
  </si>
  <si>
    <t>8.9</t>
  </si>
  <si>
    <t>kg/hab.ano</t>
  </si>
  <si>
    <t>kg/ano</t>
  </si>
  <si>
    <t>kg/mês</t>
  </si>
  <si>
    <t>9.0</t>
  </si>
  <si>
    <t>9.1</t>
  </si>
  <si>
    <t>PLANO DE COLETA E TRANSPORTE DE RESIDUO DE VARRIÇÃO,CAPINAÇÃO, PODA E ENTULHO</t>
  </si>
  <si>
    <t>VOLUME DO LIXO VARRIÇÃO E CAPINAÇÃO COLETADO POR MÊS</t>
  </si>
  <si>
    <t>QUANTIDADE DE CAMINHÃO CAÇAMBA TOCO (1,80 t) POR DIA</t>
  </si>
  <si>
    <t>9.2</t>
  </si>
  <si>
    <t>9.3</t>
  </si>
  <si>
    <t>9.4</t>
  </si>
  <si>
    <t>9.5</t>
  </si>
  <si>
    <t>9.6</t>
  </si>
  <si>
    <t>9.7</t>
  </si>
  <si>
    <t>9.8</t>
  </si>
  <si>
    <t>9.9</t>
  </si>
  <si>
    <t>10.0</t>
  </si>
  <si>
    <t>VOLUME DE LIXO  DOMICILIAR POR MÊS</t>
  </si>
  <si>
    <t>VOLUME MENSAL TOTAL</t>
  </si>
  <si>
    <t xml:space="preserve">PRODUÇÃO DIARIA DO TRATOR DE ESTEIRA COM LAMINA </t>
  </si>
  <si>
    <t>TEMPO PARA ESPALHAR E COMPACTAR OS RESÍDUOS NO LIXÃO</t>
  </si>
  <si>
    <t>10.1</t>
  </si>
  <si>
    <t>10.2</t>
  </si>
  <si>
    <t>10.3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</si>
  <si>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</si>
  <si>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</si>
  <si>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</si>
  <si>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</si>
  <si>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</si>
  <si>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</si>
  <si>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</si>
  <si>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</si>
  <si>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</si>
  <si>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m³/h</t>
  </si>
  <si>
    <t>PLANO DE PINTURA DE MEIO FIO</t>
  </si>
  <si>
    <t>11.0</t>
  </si>
  <si>
    <t>FREQUENCIA DE PINTURA DE MEIO FIO</t>
  </si>
  <si>
    <t>AJUDANTE DE PINTURA DE MEIO FIO</t>
  </si>
  <si>
    <t>JORNADA DIARIA</t>
  </si>
  <si>
    <t>REDIMENTO DIARIO DE UM AJUDANTE  DE PINTURA DE MEIO FIO</t>
  </si>
  <si>
    <t xml:space="preserve">EXTENSÃO DAS RUAS PAVIMENTADAS COM MEIO FIO </t>
  </si>
  <si>
    <t>EXTENSÃO DE COM MEIO FIO</t>
  </si>
  <si>
    <t>PRODUÇÃO DIARIA  DE PINTURA DE MEIO FIO</t>
  </si>
  <si>
    <t>QUANTIDADE DE AJUDANTE POR DIA</t>
  </si>
  <si>
    <t>QUANTIDADE DE CAL POR DIA</t>
  </si>
  <si>
    <t>QUANTIDADE DE CAL POR MÊS</t>
  </si>
  <si>
    <t>11.1</t>
  </si>
  <si>
    <t>11.2</t>
  </si>
  <si>
    <t>11.3</t>
  </si>
  <si>
    <t>11.4</t>
  </si>
  <si>
    <t>11.5</t>
  </si>
  <si>
    <t>11.6</t>
  </si>
  <si>
    <t>11.7</t>
  </si>
  <si>
    <t>11.8</t>
  </si>
  <si>
    <t>11.9</t>
  </si>
  <si>
    <t>11.10</t>
  </si>
  <si>
    <t xml:space="preserve">RUAS PARA COLETA DE RESIDUOS SOLIDOS </t>
  </si>
  <si>
    <t>KM</t>
  </si>
  <si>
    <t>COMPOSIÇÃO DO BDI</t>
  </si>
  <si>
    <t>ITEM COMPONENTE DO BDI</t>
  </si>
  <si>
    <t>BDI TCU - Acórdão 2622/2013 (%)</t>
  </si>
  <si>
    <t>ADMINISTRAÇÃO CENTRAL (AC)</t>
  </si>
  <si>
    <t>SEGURO E GARANTIA (S+G)</t>
  </si>
  <si>
    <t>RISCO ( R)</t>
  </si>
  <si>
    <t>DESPESAS FINANCEIRAS (DF)</t>
  </si>
  <si>
    <t>LUCRO (L)</t>
  </si>
  <si>
    <t>TRIBUTOS (I)</t>
  </si>
  <si>
    <t>PIS</t>
  </si>
  <si>
    <t>COFINS</t>
  </si>
  <si>
    <t>ISS</t>
  </si>
  <si>
    <t>INSS (DESONERAÇÃO) - CPRB</t>
  </si>
  <si>
    <t>Aplicando na fórmula acima, temos:</t>
  </si>
  <si>
    <t>BDI(%)=</t>
  </si>
  <si>
    <t xml:space="preserve"> 1.1 </t>
  </si>
  <si>
    <t xml:space="preserve"> H029000504 </t>
  </si>
  <si>
    <t>EMBASA</t>
  </si>
  <si>
    <t>CAMINHAO COMPACTADOR - 15M3</t>
  </si>
  <si>
    <t xml:space="preserve"> 88285 </t>
  </si>
  <si>
    <t>MOTORISTA DE VEÍCULO PESADO COM ENCARGOS COMPLEMENTARES</t>
  </si>
  <si>
    <t xml:space="preserve"> 88843 </t>
  </si>
  <si>
    <t>TRATOR DE ESTEIRAS, POTÊNCIA 125 HP, PESO OPERACIONAL 12,9 T, COM LÂMINA 2,7 M3 - CHP DIURNO. AF_10/2014</t>
  </si>
  <si>
    <t>PINTURA DE MEIO-FIO COM TINTA BRANCA A BASE DE CAL (CAIAÇÃO). AF_05/2021</t>
  </si>
  <si>
    <t xml:space="preserve"> 95422 </t>
  </si>
  <si>
    <t xml:space="preserve"> 00040818 </t>
  </si>
  <si>
    <t>ENCARREGADO GERAL DE OBRAS (MENSALISTA)</t>
  </si>
  <si>
    <t xml:space="preserve"> 00043499 </t>
  </si>
  <si>
    <t>EPI - FAMILIA ENCARREGADO GERAL - MENSALISTA (ENCARGOS COMPLEMENTARES - COLETADO CAIXA)</t>
  </si>
  <si>
    <t xml:space="preserve"> 00040863 </t>
  </si>
  <si>
    <t xml:space="preserve"> 00043475 </t>
  </si>
  <si>
    <t>FERRAMENTAS - FAMILIA ENCARREGADO GERAL - MENSALISTA (ENCARGOS COMPLEMENTARES - COLETADO CAIXA)</t>
  </si>
  <si>
    <t xml:space="preserve"> 00040864 </t>
  </si>
  <si>
    <t xml:space="preserve"> 101300 </t>
  </si>
  <si>
    <t xml:space="preserve"> 00040862 </t>
  </si>
  <si>
    <t xml:space="preserve"> 00041071 </t>
  </si>
  <si>
    <t>AUXILIAR DE SERVICOS GERAIS (MENSALISTA)</t>
  </si>
  <si>
    <t xml:space="preserve"> 00043503 </t>
  </si>
  <si>
    <t>EPI - FAMILIA SERVENTE - MENSALISTA (ENCARGOS COMPLEMENTARES - COLETADO CAIXA)</t>
  </si>
  <si>
    <t xml:space="preserve"> 00043479 </t>
  </si>
  <si>
    <t>FERRAMENTAS - FAMILIA SERVENTE - MENSALISTA (ENCARGOS COMPLEMENTARES - COLETADO CAIXA)</t>
  </si>
  <si>
    <t xml:space="preserve"> 00040861 </t>
  </si>
  <si>
    <t xml:space="preserve"> 95350 </t>
  </si>
  <si>
    <t>CURSO DE CAPACITAÇÃO PARA MOTORISTA DE VEÍCULO PESADO (ENCARGOS COMPLEMENTARES) - HORISTA</t>
  </si>
  <si>
    <t xml:space="preserve"> 00037370 </t>
  </si>
  <si>
    <t>Outros</t>
  </si>
  <si>
    <t xml:space="preserve"> 00043488 </t>
  </si>
  <si>
    <t>EPI - FAMILIA OPERADOR ESCAVADEIRA - HORISTA (ENCARGOS COMPLEMENTARES - COLETADO CAIXA)</t>
  </si>
  <si>
    <t xml:space="preserve"> 00037372 </t>
  </si>
  <si>
    <t xml:space="preserve"> 00043464 </t>
  </si>
  <si>
    <t>FERRAMENTAS - FAMILIA OPERADOR ESCAVADEIRA - HORISTA (ENCARGOS COMPLEMENTARES - COLETADO CAIXA)</t>
  </si>
  <si>
    <t xml:space="preserve"> 00004097 </t>
  </si>
  <si>
    <t>MOTORISTA DE ONIBUS / MICRO-ONIBUS</t>
  </si>
  <si>
    <t xml:space="preserve"> 00037373 </t>
  </si>
  <si>
    <t>Taxas</t>
  </si>
  <si>
    <t xml:space="preserve"> 00037371 </t>
  </si>
  <si>
    <t>Serviços</t>
  </si>
  <si>
    <t>Conversão InfoWOrca</t>
  </si>
  <si>
    <t xml:space="preserve"> 5073 </t>
  </si>
  <si>
    <t>Transporte local com caminhão basculante de 10m³, em rodovia pavimentada (conservação) densidade=1,5t/m³</t>
  </si>
  <si>
    <t>Transportes</t>
  </si>
  <si>
    <t xml:space="preserve"> 10549 </t>
  </si>
  <si>
    <t>Encargos Complementares - Servente</t>
  </si>
  <si>
    <t>Provisórios</t>
  </si>
  <si>
    <t xml:space="preserve"> 00006111 </t>
  </si>
  <si>
    <t>SERVENTE DE OBRAS</t>
  </si>
  <si>
    <t>SERP - SERVIÇOS PRELIMINARES</t>
  </si>
  <si>
    <t xml:space="preserve"> 88316 </t>
  </si>
  <si>
    <t>SERVENTE COM ENCARGOS COMPLEMENTARES</t>
  </si>
  <si>
    <t xml:space="preserve"> 88840 </t>
  </si>
  <si>
    <t>TRATOR DE ESTEIRAS, POTÊNCIA 125 HP, PESO OPERACIONAL 12,9 T, COM LÂMINA 2,7 M3 - JUROS. AF_10/2014</t>
  </si>
  <si>
    <t xml:space="preserve"> 88839 </t>
  </si>
  <si>
    <t>TRATOR DE ESTEIRAS, POTÊNCIA 125 HP, PESO OPERACIONAL 12,9 T, COM LÂMINA 2,7 M3 - DEPRECIAÇÃO. AF_10/2014</t>
  </si>
  <si>
    <t xml:space="preserve"> 88842 </t>
  </si>
  <si>
    <t>TRATOR DE ESTEIRAS, POTÊNCIA 125 HP, PESO OPERACIONAL 12,9 T, COM LÂMINA 2,7 M3 - MATERIAIS NA OPERAÇÃO. AF_10/2014</t>
  </si>
  <si>
    <t xml:space="preserve"> 88841 </t>
  </si>
  <si>
    <t>TRATOR DE ESTEIRAS, POTÊNCIA 125 HP, PESO OPERACIONAL 12,9 T, COM LÂMINA 2,7 M3 - MANUTENÇÃO. AF_10/2014</t>
  </si>
  <si>
    <t>PINT - PINTURAS</t>
  </si>
  <si>
    <t xml:space="preserve"> 88310 </t>
  </si>
  <si>
    <t>PINTOR COM ENCARGOS COMPLEMENTARES</t>
  </si>
  <si>
    <t>TOTAL MENSAL</t>
  </si>
  <si>
    <t>TOTAL ANUAL</t>
  </si>
  <si>
    <t xml:space="preserve">PLANO DE OPERAÇÃO CONTROLE -LIXÃO </t>
  </si>
  <si>
    <t>EXAMES - MENSALISTA (COLETADO CAIXA - ENCARGOS COMPLEMENTARES)</t>
  </si>
  <si>
    <t>SEGURO - MENSALISTA (COLETADO CAIXA - ENCARGOS COMPLEMENTARES)</t>
  </si>
  <si>
    <t>ALIMENTACAO - MENSALISTA (COLETADO CAIXA - ENCARGOS COMPLEMENTARES</t>
  </si>
  <si>
    <t>TRANSPORTE - MENSALISTA (COLETADO CAIXA - ENCARGOS COMPLEMENTARES)</t>
  </si>
  <si>
    <t>ALIMENTACAO - HORISTA (COLETADO CAIXA - ENCARGOS COMPLEMENTARES)</t>
  </si>
  <si>
    <t>TRANSPORTE - HORISTA (COLETADO CAIXA - ENCARGOS COMPLEMENTARES)</t>
  </si>
  <si>
    <t>EXAMES - HORISTA (COLETADO CAIXA - ENCARGOS COMPLEMENTARES)</t>
  </si>
  <si>
    <t>SEGURO - HORISTA (COLETADO CAIXA - ENCARGOS COMPLEMENTARES)</t>
  </si>
  <si>
    <t>COMP.(M)</t>
  </si>
  <si>
    <t>LARG. (M)</t>
  </si>
  <si>
    <t>ÁREA (M²)</t>
  </si>
  <si>
    <t xml:space="preserve">RUA ALTINO GOMES </t>
  </si>
  <si>
    <t xml:space="preserve">RUA MARCIO PEREIRA </t>
  </si>
  <si>
    <t xml:space="preserve">MANOEL CRIZNATO </t>
  </si>
  <si>
    <t xml:space="preserve">RUA HENRIQUE  COELHO </t>
  </si>
  <si>
    <t xml:space="preserve">AV. TANCREDO NEVES </t>
  </si>
  <si>
    <t xml:space="preserve">RUA CAMILO ROCHA </t>
  </si>
  <si>
    <t xml:space="preserve">RUA 28 DE JUNHO </t>
  </si>
  <si>
    <t xml:space="preserve">RUA DOCA BINA </t>
  </si>
  <si>
    <t xml:space="preserve">RUA DA MANGUEIRA </t>
  </si>
  <si>
    <t xml:space="preserve">RUA DIOLINDO BARRO </t>
  </si>
  <si>
    <t xml:space="preserve">RUA FREI ANACLETO </t>
  </si>
  <si>
    <t xml:space="preserve">RUA ADALBERTO DE MACEDO </t>
  </si>
  <si>
    <t xml:space="preserve">RUA JUSTINO BEZERRA </t>
  </si>
  <si>
    <t xml:space="preserve">AV. COSTA E SILVA </t>
  </si>
  <si>
    <t xml:space="preserve">RUA DEP. MANOEL GOMES </t>
  </si>
  <si>
    <t xml:space="preserve">RUA RAIMUNDO FALCÃO </t>
  </si>
  <si>
    <t xml:space="preserve">RUA FREI CARMELO </t>
  </si>
  <si>
    <t xml:space="preserve">RUA FREI RENATO </t>
  </si>
  <si>
    <t xml:space="preserve">RUA GOLÇALVES DIAS </t>
  </si>
  <si>
    <t xml:space="preserve">RUA DA RODOVIARIA </t>
  </si>
  <si>
    <t xml:space="preserve">RUA RAIMUNDO FRANÇA </t>
  </si>
  <si>
    <t xml:space="preserve">RUA SANTOS DUMONT </t>
  </si>
  <si>
    <t xml:space="preserve">RUA GRAÇA ARANHA </t>
  </si>
  <si>
    <t xml:space="preserve">RUA ANTONIO PIAUI </t>
  </si>
  <si>
    <t xml:space="preserve">RUA CEL JOA CENA </t>
  </si>
  <si>
    <t xml:space="preserve">RUA CEL VITORINO LUCENA </t>
  </si>
  <si>
    <t xml:space="preserve">RUA ADALTON CRUZ </t>
  </si>
  <si>
    <t xml:space="preserve">RUA PRES. CASTELO BRANCO </t>
  </si>
  <si>
    <t xml:space="preserve">RUA PROF. NELSON SEVERO </t>
  </si>
  <si>
    <t xml:space="preserve">RUA HONORACIO GOMES </t>
  </si>
  <si>
    <t xml:space="preserve">RUA EDUARDO FALCÃO </t>
  </si>
  <si>
    <t xml:space="preserve">RUA CLODOMIR BARROS </t>
  </si>
  <si>
    <t xml:space="preserve">RUA CEL SEBASTIÃO GOMES </t>
  </si>
  <si>
    <t xml:space="preserve">RUA RAIMUNDO FELIX </t>
  </si>
  <si>
    <t xml:space="preserve">RUA VENUS </t>
  </si>
  <si>
    <t xml:space="preserve">RUA MARTE </t>
  </si>
  <si>
    <t xml:space="preserve">RUA JUPTER </t>
  </si>
  <si>
    <t xml:space="preserve">RUA MERCURIO </t>
  </si>
  <si>
    <t xml:space="preserve">RUA SATURNO </t>
  </si>
  <si>
    <t xml:space="preserve">RUA DEP. LUIS ROCHA </t>
  </si>
  <si>
    <t>RUA CLODOMIR CARDOSO</t>
  </si>
  <si>
    <t xml:space="preserve">RUAS PAVIMENTADAS A SEREM VARRIDAS </t>
  </si>
  <si>
    <r>
      <t xml:space="preserve">DATA BASE: </t>
    </r>
    <r>
      <rPr>
        <sz val="12"/>
        <rFont val="Calibri"/>
        <family val="2"/>
        <scheme val="minor"/>
      </rPr>
      <t>SINAPI- 01/2023, ORSE 01/2023  E SICRO - 3  01/2023</t>
    </r>
  </si>
  <si>
    <r>
      <t xml:space="preserve">ENCARGOS SOCIAIS DESONERADOS: </t>
    </r>
    <r>
      <rPr>
        <sz val="12"/>
        <rFont val="Calibri"/>
        <family val="2"/>
        <scheme val="minor"/>
      </rPr>
      <t>78,88%(HORA) 42,53%(MÊS) COM B. D. I = 25,00%.</t>
    </r>
  </si>
  <si>
    <t>DESCRIÇÃO</t>
  </si>
  <si>
    <t>CÓDIGO</t>
  </si>
  <si>
    <t>BANCO DE DADOS</t>
  </si>
  <si>
    <t>UND</t>
  </si>
  <si>
    <t>Valor Unitário (R$)</t>
  </si>
  <si>
    <t>Valor Unitário Com BDI (R$)</t>
  </si>
  <si>
    <t>Valor Total (R$)</t>
  </si>
  <si>
    <t>COLETA REGULAR DE LIXO</t>
  </si>
  <si>
    <t>ENCARREGADO DE FRENTE</t>
  </si>
  <si>
    <t>h/mês</t>
  </si>
  <si>
    <t>AJUDANTE / COLETA DOMICILIAR</t>
  </si>
  <si>
    <t>VARRIAÇÃO E CAPINA MANUAL DE VIAS E LOGRADOUROS PÚBLICOS</t>
  </si>
  <si>
    <t>OPERADOR / CAPINA MECANICA</t>
  </si>
  <si>
    <t>AJUDANTE / VARRIÇÃO DE RUA</t>
  </si>
  <si>
    <t>SERVIÇO DE TRANSPORTE PARA COLETA E ATERRO SANITÁRIO</t>
  </si>
  <si>
    <t>dia/mês</t>
  </si>
  <si>
    <t>CAMINHÃO BASCULANTE</t>
  </si>
  <si>
    <t>L/mês</t>
  </si>
  <si>
    <t>FERRAMENTAS E  E.P.I.</t>
  </si>
  <si>
    <t>FERRAMENTAS</t>
  </si>
  <si>
    <t>4.1.1</t>
  </si>
  <si>
    <t>CARRO DE MÃO, CAÇAMBA METÁLICA E PNEU MACIO</t>
  </si>
  <si>
    <t>und/mês</t>
  </si>
  <si>
    <t>4.1.2</t>
  </si>
  <si>
    <t>PÁ</t>
  </si>
  <si>
    <t>4.1.3</t>
  </si>
  <si>
    <t>ENXADA</t>
  </si>
  <si>
    <t>E.P.I.</t>
  </si>
  <si>
    <t>4.2.1</t>
  </si>
  <si>
    <t>LUVA DE PROTEÇÃO</t>
  </si>
  <si>
    <t>par/mês</t>
  </si>
  <si>
    <t>4.2.2</t>
  </si>
  <si>
    <t>BOTA DE PROTEÇÃO</t>
  </si>
  <si>
    <t>4.2.3</t>
  </si>
  <si>
    <t>MÁSCARA DE PROTEÇÃO</t>
  </si>
  <si>
    <t>4.2.4</t>
  </si>
  <si>
    <t>ÓCULOS DE PROTEÇÃO</t>
  </si>
  <si>
    <t>4.2.5</t>
  </si>
  <si>
    <t xml:space="preserve">FARDAMENTO </t>
  </si>
  <si>
    <t>MATERIAL</t>
  </si>
  <si>
    <t>4.3.1</t>
  </si>
  <si>
    <t>SACO DE LIXO 100 LITROS</t>
  </si>
  <si>
    <t>VASSOURÃO</t>
  </si>
  <si>
    <t>4.3.2</t>
  </si>
  <si>
    <t>CAIACAO EM MEIO FIO</t>
  </si>
  <si>
    <t>TOTAL DA PLANILHA MENSAL</t>
  </si>
  <si>
    <t>TOTAL DA PLANILHA P/ 12 MESES</t>
  </si>
  <si>
    <r>
      <t xml:space="preserve">OBJETO: </t>
    </r>
    <r>
      <rPr>
        <sz val="12"/>
        <rFont val="Calibri"/>
        <family val="2"/>
        <scheme val="minor"/>
      </rPr>
      <t>SERVIÇOS DE  LIMPEZA PÚBLICA NO MUNICÍPIO DE PRESIDENTE DUTRA</t>
    </r>
  </si>
  <si>
    <t>PREFEITURA MUNICIPAL DE PRESIDENTE DUTRA</t>
  </si>
  <si>
    <t>RETROESCAVADEIRA SOBRE RODAS COM CARREGADEIRA, TRAÇÃO 4X4</t>
  </si>
  <si>
    <t>AUTOMÓVEL TIPO LEVE - APOIO</t>
  </si>
  <si>
    <r>
      <t xml:space="preserve">DATA BASE: </t>
    </r>
    <r>
      <rPr>
        <sz val="12"/>
        <rFont val="Calibri"/>
        <family val="2"/>
        <scheme val="minor"/>
      </rPr>
      <t>SINAPI- 01/2023, ORSE 01/2023  E SICRO - 3  01/2023, EMBASA 10/2022</t>
    </r>
  </si>
  <si>
    <t>CURSO DE CAPACITAÇÃO PARA AJUDANTE / COLETA DOMICILIAR (ENCARGOS COMPLEMENTARES) - MENSALISTA</t>
  </si>
  <si>
    <t>Encargos</t>
  </si>
  <si>
    <t>CURSO DE CAPACITAÇÃO PARA ENCARREGADO DE FRENTE (ENCARGOS COMPLEMENTARES) - MENSALISTA</t>
  </si>
  <si>
    <t>BDI</t>
  </si>
  <si>
    <t>4.3.12</t>
  </si>
  <si>
    <t xml:space="preserve"> 3.3</t>
  </si>
  <si>
    <t xml:space="preserve">PLANILHA DE COMPOSIÇÃO </t>
  </si>
  <si>
    <t xml:space="preserve">SERVIÇO DE COLETA URBANA E RURAL DE RESIDUOS SÓLIDOS , VARRIÇÃO  NA ZONA URBANA E RURAL DO MUNICÍPIO DE PRESIDENTE DUTRA - MA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</si>
</sst>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#,##0.00\ %"/>
    <numFmt numFmtId="165" formatCode="#,##0.0000000"/>
    <numFmt numFmtId="166" formatCode="0&quot;.&quot;00"/>
    <numFmt numFmtId="167" formatCode="&quot;R$&quot;\ #,##0.00"/>
  </numFmts>
  <fonts count="4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b/>
      <sz val="11"/>
      <name val="Calibri"/>
      <family val="2"/>
      <scheme val="minor"/>
    </font>
    <font>
      <sz val="28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rgb="FF000000"/>
      <name val="Calibri"/>
      <family val="2"/>
    </font>
    <font>
      <sz val="11"/>
      <name val="Arial"/>
      <family val="1"/>
    </font>
    <font>
      <b/>
      <sz val="10"/>
      <color rgb="FF000000"/>
      <name val="Arial"/>
      <family val="1"/>
    </font>
    <font>
      <b/>
      <sz val="10"/>
      <name val="Arial"/>
      <family val="1"/>
    </font>
    <font>
      <sz val="10"/>
      <name val="Arial"/>
      <family val="1"/>
    </font>
    <font>
      <b/>
      <sz val="11"/>
      <name val="Arial"/>
      <family val="1"/>
    </font>
    <font>
      <sz val="10"/>
      <color rgb="FF000000"/>
      <name val="Arial"/>
      <family val="1"/>
    </font>
    <font>
      <b/>
      <sz val="12"/>
      <color theme="0"/>
      <name val="Calibri"/>
      <family val="2"/>
      <scheme val="minor"/>
    </font>
    <font>
      <b/>
      <sz val="16"/>
      <name val="Calibri"/>
      <family val="2"/>
      <scheme val="minor"/>
    </font>
    <font>
      <b/>
      <sz val="11"/>
      <color rgb="FF000000"/>
      <name val="Calibri"/>
      <family val="2"/>
    </font>
    <font>
      <b/>
      <sz val="14"/>
      <name val="Calibri"/>
      <family val="2"/>
      <scheme val="minor"/>
    </font>
    <font>
      <sz val="11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sz val="11"/>
      <color indexed="8"/>
      <name val="Arial"/>
      <family val="2"/>
    </font>
    <font>
      <b/>
      <sz val="12"/>
      <color rgb="FF000000"/>
      <name val="Cambria"/>
      <family val="1"/>
    </font>
    <font>
      <sz val="12"/>
      <color rgb="FF000000"/>
      <name val="Cambria"/>
      <family val="1"/>
    </font>
    <font>
      <sz val="11"/>
      <color indexed="8"/>
      <name val="Calibri"/>
      <family val="2"/>
    </font>
    <font>
      <sz val="10"/>
      <color rgb="FF000000"/>
      <name val="Cambria"/>
      <family val="1"/>
    </font>
    <font>
      <b/>
      <sz val="14"/>
      <color theme="1"/>
      <name val="Calibri"/>
      <family val="2"/>
      <scheme val="minor"/>
    </font>
    <font>
      <sz val="12"/>
      <name val="Arial"/>
      <family val="2"/>
    </font>
    <font>
      <sz val="12"/>
      <color theme="0"/>
      <name val="Cambria"/>
      <family val="1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10"/>
      <color rgb="FF000000"/>
      <name val="Calibri"/>
      <family val="2"/>
      <scheme val="minor"/>
    </font>
    <font>
      <b/>
      <sz val="9"/>
      <color theme="1"/>
      <name val="Arial"/>
      <family val="2"/>
    </font>
    <font>
      <b/>
      <sz val="11"/>
      <color theme="1"/>
      <name val="Arial"/>
      <family val="2"/>
    </font>
    <font>
      <sz val="9"/>
      <name val="Arial"/>
      <family val="1"/>
    </font>
    <font>
      <sz val="9"/>
      <color rgb="FF000000"/>
      <name val="Arial"/>
      <family val="1"/>
    </font>
  </fonts>
  <fills count="18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</patternFill>
    </fill>
    <fill>
      <patternFill patternType="solid">
        <fgColor rgb="FFD8ECF6"/>
      </patternFill>
    </fill>
    <fill>
      <patternFill patternType="solid">
        <fgColor rgb="FFF7F3DF"/>
      </patternFill>
    </fill>
    <fill>
      <patternFill patternType="solid">
        <fgColor rgb="FFDFF0D8"/>
      </patternFill>
    </fill>
    <fill>
      <patternFill patternType="solid">
        <fgColor rgb="FFEFEFEF"/>
      </patternFill>
    </fill>
    <fill>
      <patternFill patternType="solid">
        <fgColor rgb="FFD6D6D6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rgb="FFFFFF00"/>
        <bgColor indexed="64"/>
      </patternFill>
    </fill>
    <fill>
      <patternFill patternType="solid">
        <fgColor rgb="FFFFFF00"/>
        <bgColor rgb="FF000000"/>
      </patternFill>
    </fill>
    <fill>
      <patternFill patternType="solid">
        <fgColor rgb="FF0070C0"/>
        <bgColor indexed="64"/>
      </patternFill>
    </fill>
    <fill>
      <patternFill patternType="solid">
        <fgColor theme="3" tint="0.39997558519241921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/>
      <right/>
      <top style="thick">
        <color rgb="FF000000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ck">
        <color rgb="FF000000"/>
      </bottom>
      <diagonal/>
    </border>
    <border>
      <left style="thin">
        <color rgb="FFCCCCCC"/>
      </left>
      <right style="thin">
        <color rgb="FFCCCCCC"/>
      </right>
      <top style="medium">
        <color auto="1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/>
      <diagonal/>
    </border>
    <border>
      <left style="thin">
        <color rgb="FFCCCCCC"/>
      </left>
      <right/>
      <top style="thin">
        <color rgb="FFCCCCCC"/>
      </top>
      <bottom style="thin">
        <color rgb="FFCCCCCC"/>
      </bottom>
      <diagonal/>
    </border>
    <border>
      <left/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/>
      <top style="medium">
        <color auto="1"/>
      </top>
      <bottom style="thin">
        <color rgb="FFCCCCCC"/>
      </bottom>
      <diagonal/>
    </border>
    <border>
      <left/>
      <right style="thin">
        <color rgb="FFCCCCCC"/>
      </right>
      <top style="medium">
        <color auto="1"/>
      </top>
      <bottom style="thin">
        <color rgb="FFCCCCCC"/>
      </bottom>
      <diagonal/>
    </border>
    <border>
      <left/>
      <right/>
      <top style="medium">
        <color auto="1"/>
      </top>
      <bottom/>
      <diagonal/>
    </border>
  </borders>
  <cellStyleXfs count="8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8" fillId="0" borderId="0"/>
    <xf numFmtId="0" fontId="19" fillId="0" borderId="0"/>
    <xf numFmtId="9" fontId="24" fillId="0" borderId="0" applyFont="0" applyFill="0" applyBorder="0" applyAlignment="0" applyProtection="0"/>
    <xf numFmtId="0" fontId="19" fillId="0" borderId="0"/>
  </cellStyleXfs>
  <cellXfs count="255">
    <xf numFmtId="0" fontId="0" fillId="0" borderId="0" xfId="0"/>
    <xf numFmtId="0" fontId="0" fillId="0" borderId="0" xfId="0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0" fontId="0" fillId="0" borderId="1" xfId="0" applyBorder="1"/>
    <xf numFmtId="44" fontId="0" fillId="0" borderId="1" xfId="2" applyFont="1" applyBorder="1"/>
    <xf numFmtId="43" fontId="0" fillId="0" borderId="1" xfId="1" applyFont="1" applyBorder="1"/>
    <xf numFmtId="0" fontId="0" fillId="0" borderId="1" xfId="0" applyBorder="1" applyAlignment="1">
      <alignment horizontal="center" vertical="center"/>
    </xf>
    <xf numFmtId="44" fontId="0" fillId="0" borderId="1" xfId="2" applyFont="1" applyBorder="1" applyAlignment="1">
      <alignment vertical="center"/>
    </xf>
    <xf numFmtId="0" fontId="0" fillId="0" borderId="0" xfId="0" applyAlignment="1">
      <alignment vertical="center"/>
    </xf>
    <xf numFmtId="0" fontId="0" fillId="0" borderId="10" xfId="0" applyBorder="1"/>
    <xf numFmtId="0" fontId="0" fillId="0" borderId="8" xfId="0" applyBorder="1"/>
    <xf numFmtId="0" fontId="0" fillId="0" borderId="11" xfId="0" applyBorder="1"/>
    <xf numFmtId="0" fontId="0" fillId="0" borderId="5" xfId="0" applyBorder="1"/>
    <xf numFmtId="0" fontId="0" fillId="0" borderId="9" xfId="0" applyBorder="1"/>
    <xf numFmtId="0" fontId="3" fillId="4" borderId="0" xfId="0" applyFont="1" applyFill="1"/>
    <xf numFmtId="0" fontId="0" fillId="4" borderId="0" xfId="0" applyFill="1"/>
    <xf numFmtId="0" fontId="3" fillId="2" borderId="6" xfId="0" applyFont="1" applyFill="1" applyBorder="1"/>
    <xf numFmtId="0" fontId="9" fillId="4" borderId="0" xfId="4" applyFont="1" applyFill="1" applyAlignment="1">
      <alignment horizontal="left" vertical="top" wrapText="1"/>
    </xf>
    <xf numFmtId="4" fontId="9" fillId="4" borderId="0" xfId="4" applyNumberFormat="1" applyFont="1" applyFill="1" applyAlignment="1">
      <alignment horizontal="right" vertical="top" wrapText="1"/>
    </xf>
    <xf numFmtId="164" fontId="9" fillId="4" borderId="0" xfId="4" applyNumberFormat="1" applyFont="1" applyFill="1" applyAlignment="1">
      <alignment horizontal="right" vertical="top" wrapText="1"/>
    </xf>
    <xf numFmtId="44" fontId="0" fillId="0" borderId="0" xfId="2" applyFont="1"/>
    <xf numFmtId="44" fontId="0" fillId="0" borderId="1" xfId="0" applyNumberFormat="1" applyBorder="1"/>
    <xf numFmtId="0" fontId="3" fillId="2" borderId="1" xfId="0" applyFont="1" applyFill="1" applyBorder="1"/>
    <xf numFmtId="0" fontId="2" fillId="0" borderId="1" xfId="0" applyFont="1" applyBorder="1"/>
    <xf numFmtId="44" fontId="2" fillId="0" borderId="1" xfId="0" applyNumberFormat="1" applyFont="1" applyBorder="1"/>
    <xf numFmtId="10" fontId="2" fillId="0" borderId="1" xfId="3" applyNumberFormat="1" applyFont="1" applyBorder="1"/>
    <xf numFmtId="10" fontId="3" fillId="2" borderId="1" xfId="0" applyNumberFormat="1" applyFont="1" applyFill="1" applyBorder="1"/>
    <xf numFmtId="44" fontId="14" fillId="4" borderId="0" xfId="0" applyNumberFormat="1" applyFont="1" applyFill="1"/>
    <xf numFmtId="44" fontId="14" fillId="4" borderId="0" xfId="2" applyFont="1" applyFill="1" applyBorder="1" applyAlignment="1">
      <alignment horizontal="center"/>
    </xf>
    <xf numFmtId="0" fontId="3" fillId="2" borderId="0" xfId="0" applyFont="1" applyFill="1"/>
    <xf numFmtId="44" fontId="14" fillId="2" borderId="0" xfId="0" applyNumberFormat="1" applyFont="1" applyFill="1"/>
    <xf numFmtId="10" fontId="3" fillId="2" borderId="1" xfId="3" applyNumberFormat="1" applyFont="1" applyFill="1" applyBorder="1" applyAlignment="1"/>
    <xf numFmtId="0" fontId="15" fillId="11" borderId="0" xfId="0" applyFont="1" applyFill="1"/>
    <xf numFmtId="44" fontId="15" fillId="11" borderId="0" xfId="2" applyFont="1" applyFill="1" applyBorder="1" applyAlignment="1"/>
    <xf numFmtId="10" fontId="15" fillId="11" borderId="0" xfId="3" applyNumberFormat="1" applyFont="1" applyFill="1" applyBorder="1" applyAlignment="1"/>
    <xf numFmtId="44" fontId="3" fillId="2" borderId="6" xfId="2" applyFont="1" applyFill="1" applyBorder="1" applyAlignment="1"/>
    <xf numFmtId="10" fontId="3" fillId="2" borderId="6" xfId="3" applyNumberFormat="1" applyFont="1" applyFill="1" applyBorder="1" applyAlignment="1"/>
    <xf numFmtId="43" fontId="0" fillId="0" borderId="0" xfId="1" applyFont="1"/>
    <xf numFmtId="10" fontId="0" fillId="0" borderId="1" xfId="3" applyNumberFormat="1" applyFont="1" applyBorder="1"/>
    <xf numFmtId="43" fontId="2" fillId="12" borderId="1" xfId="1" applyFont="1" applyFill="1" applyBorder="1"/>
    <xf numFmtId="43" fontId="0" fillId="0" borderId="0" xfId="1" applyFont="1" applyAlignment="1">
      <alignment horizontal="left"/>
    </xf>
    <xf numFmtId="0" fontId="0" fillId="0" borderId="0" xfId="0" applyAlignment="1">
      <alignment horizontal="left"/>
    </xf>
    <xf numFmtId="43" fontId="7" fillId="13" borderId="1" xfId="1" applyFont="1" applyFill="1" applyBorder="1" applyAlignment="1">
      <alignment horizontal="justify" vertical="top"/>
    </xf>
    <xf numFmtId="43" fontId="7" fillId="13" borderId="1" xfId="1" applyFont="1" applyFill="1" applyBorder="1"/>
    <xf numFmtId="43" fontId="0" fillId="14" borderId="1" xfId="1" applyFont="1" applyFill="1" applyBorder="1"/>
    <xf numFmtId="43" fontId="0" fillId="0" borderId="2" xfId="1" applyFont="1" applyBorder="1"/>
    <xf numFmtId="43" fontId="7" fillId="13" borderId="4" xfId="1" applyFont="1" applyFill="1" applyBorder="1"/>
    <xf numFmtId="43" fontId="0" fillId="0" borderId="1" xfId="0" applyNumberFormat="1" applyBorder="1"/>
    <xf numFmtId="43" fontId="0" fillId="14" borderId="1" xfId="0" applyNumberFormat="1" applyFill="1" applyBorder="1"/>
    <xf numFmtId="43" fontId="0" fillId="0" borderId="1" xfId="1" applyFont="1" applyFill="1" applyBorder="1"/>
    <xf numFmtId="43" fontId="0" fillId="0" borderId="0" xfId="0" applyNumberFormat="1"/>
    <xf numFmtId="44" fontId="0" fillId="0" borderId="0" xfId="2" applyFont="1" applyAlignment="1">
      <alignment vertical="center"/>
    </xf>
    <xf numFmtId="0" fontId="0" fillId="0" borderId="0" xfId="0" applyAlignment="1">
      <alignment horizontal="left" vertical="center" wrapText="1"/>
    </xf>
    <xf numFmtId="0" fontId="21" fillId="0" borderId="0" xfId="0" applyFont="1" applyAlignment="1">
      <alignment horizontal="center" vertical="center" wrapText="1"/>
    </xf>
    <xf numFmtId="0" fontId="21" fillId="0" borderId="0" xfId="0" applyFont="1" applyAlignment="1">
      <alignment vertical="center" wrapText="1"/>
    </xf>
    <xf numFmtId="0" fontId="22" fillId="17" borderId="14" xfId="0" applyFont="1" applyFill="1" applyBorder="1" applyAlignment="1">
      <alignment horizontal="center" vertical="center"/>
    </xf>
    <xf numFmtId="0" fontId="22" fillId="17" borderId="16" xfId="0" applyFont="1" applyFill="1" applyBorder="1" applyAlignment="1">
      <alignment horizontal="center" vertical="center"/>
    </xf>
    <xf numFmtId="0" fontId="22" fillId="17" borderId="17" xfId="0" applyFont="1" applyFill="1" applyBorder="1" applyAlignment="1">
      <alignment horizontal="center" vertical="center" wrapText="1"/>
    </xf>
    <xf numFmtId="0" fontId="23" fillId="4" borderId="7" xfId="0" applyFont="1" applyFill="1" applyBorder="1" applyAlignment="1">
      <alignment horizontal="center" vertical="top" wrapText="1"/>
    </xf>
    <xf numFmtId="0" fontId="23" fillId="4" borderId="7" xfId="0" applyFont="1" applyFill="1" applyBorder="1" applyAlignment="1">
      <alignment vertical="top" wrapText="1"/>
    </xf>
    <xf numFmtId="10" fontId="23" fillId="4" borderId="7" xfId="6" applyNumberFormat="1" applyFont="1" applyFill="1" applyBorder="1" applyAlignment="1">
      <alignment horizontal="center" vertical="top" wrapText="1"/>
    </xf>
    <xf numFmtId="0" fontId="23" fillId="4" borderId="1" xfId="0" applyFont="1" applyFill="1" applyBorder="1" applyAlignment="1">
      <alignment horizontal="center" vertical="top" wrapText="1"/>
    </xf>
    <xf numFmtId="0" fontId="23" fillId="4" borderId="1" xfId="0" applyFont="1" applyFill="1" applyBorder="1" applyAlignment="1">
      <alignment vertical="top" wrapText="1"/>
    </xf>
    <xf numFmtId="10" fontId="23" fillId="4" borderId="1" xfId="6" applyNumberFormat="1" applyFont="1" applyFill="1" applyBorder="1" applyAlignment="1">
      <alignment horizontal="center" vertical="top" wrapText="1"/>
    </xf>
    <xf numFmtId="0" fontId="22" fillId="4" borderId="1" xfId="0" applyFont="1" applyFill="1" applyBorder="1" applyAlignment="1">
      <alignment vertical="top" wrapText="1"/>
    </xf>
    <xf numFmtId="0" fontId="23" fillId="4" borderId="0" xfId="0" applyFont="1" applyFill="1" applyAlignment="1">
      <alignment vertical="top" wrapText="1"/>
    </xf>
    <xf numFmtId="2" fontId="0" fillId="4" borderId="0" xfId="0" applyNumberFormat="1" applyFill="1"/>
    <xf numFmtId="0" fontId="23" fillId="4" borderId="0" xfId="0" applyFont="1" applyFill="1" applyAlignment="1">
      <alignment horizontal="center" vertical="top" wrapText="1"/>
    </xf>
    <xf numFmtId="0" fontId="25" fillId="4" borderId="0" xfId="0" applyFont="1" applyFill="1" applyAlignment="1">
      <alignment vertical="top" wrapText="1"/>
    </xf>
    <xf numFmtId="0" fontId="26" fillId="4" borderId="0" xfId="0" applyFont="1" applyFill="1" applyAlignment="1">
      <alignment horizontal="right"/>
    </xf>
    <xf numFmtId="0" fontId="0" fillId="4" borderId="0" xfId="0" applyFill="1" applyAlignment="1">
      <alignment horizontal="right"/>
    </xf>
    <xf numFmtId="2" fontId="0" fillId="4" borderId="0" xfId="0" applyNumberFormat="1" applyFill="1" applyAlignment="1">
      <alignment horizontal="left"/>
    </xf>
    <xf numFmtId="0" fontId="0" fillId="17" borderId="18" xfId="0" applyFill="1" applyBorder="1"/>
    <xf numFmtId="2" fontId="26" fillId="17" borderId="19" xfId="0" applyNumberFormat="1" applyFont="1" applyFill="1" applyBorder="1" applyAlignment="1">
      <alignment horizontal="right"/>
    </xf>
    <xf numFmtId="10" fontId="17" fillId="17" borderId="20" xfId="5" applyNumberFormat="1" applyFont="1" applyFill="1" applyBorder="1" applyAlignment="1">
      <alignment horizontal="left" vertical="center" wrapText="1"/>
    </xf>
    <xf numFmtId="0" fontId="28" fillId="4" borderId="1" xfId="0" applyFont="1" applyFill="1" applyBorder="1" applyAlignment="1">
      <alignment vertical="top" wrapText="1"/>
    </xf>
    <xf numFmtId="10" fontId="28" fillId="4" borderId="1" xfId="6" applyNumberFormat="1" applyFont="1" applyFill="1" applyBorder="1" applyAlignment="1">
      <alignment horizontal="center" vertical="top" wrapText="1"/>
    </xf>
    <xf numFmtId="43" fontId="0" fillId="0" borderId="0" xfId="1" applyFont="1" applyBorder="1"/>
    <xf numFmtId="43" fontId="0" fillId="0" borderId="0" xfId="1" applyFont="1" applyAlignment="1">
      <alignment horizontal="center"/>
    </xf>
    <xf numFmtId="0" fontId="0" fillId="0" borderId="0" xfId="0" applyAlignment="1">
      <alignment horizontal="center"/>
    </xf>
    <xf numFmtId="44" fontId="0" fillId="0" borderId="0" xfId="0" applyNumberFormat="1"/>
    <xf numFmtId="44" fontId="30" fillId="0" borderId="0" xfId="2" applyFont="1"/>
    <xf numFmtId="0" fontId="0" fillId="0" borderId="0" xfId="0" applyAlignment="1">
      <alignment horizontal="right"/>
    </xf>
    <xf numFmtId="0" fontId="0" fillId="0" borderId="0" xfId="0" applyAlignment="1">
      <alignment wrapText="1"/>
    </xf>
    <xf numFmtId="0" fontId="34" fillId="12" borderId="1" xfId="0" applyFont="1" applyFill="1" applyBorder="1" applyAlignment="1">
      <alignment horizontal="center" vertical="center"/>
    </xf>
    <xf numFmtId="0" fontId="34" fillId="12" borderId="1" xfId="0" applyFont="1" applyFill="1" applyBorder="1" applyAlignment="1">
      <alignment horizontal="center" vertical="center" wrapText="1"/>
    </xf>
    <xf numFmtId="43" fontId="34" fillId="12" borderId="1" xfId="1" applyFont="1" applyFill="1" applyBorder="1" applyAlignment="1">
      <alignment horizontal="center" vertical="center"/>
    </xf>
    <xf numFmtId="44" fontId="34" fillId="12" borderId="1" xfId="2" applyFont="1" applyFill="1" applyBorder="1" applyAlignment="1">
      <alignment vertical="center"/>
    </xf>
    <xf numFmtId="0" fontId="35" fillId="0" borderId="1" xfId="0" applyFont="1" applyBorder="1" applyAlignment="1">
      <alignment horizontal="center" vertical="center"/>
    </xf>
    <xf numFmtId="0" fontId="35" fillId="0" borderId="1" xfId="0" applyFont="1" applyBorder="1" applyAlignment="1">
      <alignment vertical="center"/>
    </xf>
    <xf numFmtId="0" fontId="35" fillId="0" borderId="1" xfId="0" applyFont="1" applyFill="1" applyBorder="1" applyAlignment="1">
      <alignment horizontal="center" vertical="center"/>
    </xf>
    <xf numFmtId="0" fontId="35" fillId="0" borderId="1" xfId="0" applyFont="1" applyFill="1" applyBorder="1" applyAlignment="1">
      <alignment horizontal="right" vertical="center"/>
    </xf>
    <xf numFmtId="2" fontId="35" fillId="0" borderId="1" xfId="0" applyNumberFormat="1" applyFont="1" applyFill="1" applyBorder="1" applyAlignment="1">
      <alignment vertical="center" wrapText="1"/>
    </xf>
    <xf numFmtId="2" fontId="35" fillId="0" borderId="1" xfId="0" applyNumberFormat="1" applyFont="1" applyBorder="1" applyAlignment="1">
      <alignment vertical="center" wrapText="1"/>
    </xf>
    <xf numFmtId="167" fontId="35" fillId="0" borderId="1" xfId="1" applyNumberFormat="1" applyFont="1" applyBorder="1" applyAlignment="1">
      <alignment vertical="center"/>
    </xf>
    <xf numFmtId="44" fontId="34" fillId="12" borderId="1" xfId="2" applyFont="1" applyFill="1" applyBorder="1" applyAlignment="1">
      <alignment vertical="center" wrapText="1"/>
    </xf>
    <xf numFmtId="2" fontId="36" fillId="0" borderId="1" xfId="0" applyNumberFormat="1" applyFont="1" applyFill="1" applyBorder="1" applyAlignment="1">
      <alignment vertical="center" wrapText="1"/>
    </xf>
    <xf numFmtId="0" fontId="34" fillId="0" borderId="1" xfId="0" applyFont="1" applyBorder="1" applyAlignment="1">
      <alignment horizontal="center" vertical="center"/>
    </xf>
    <xf numFmtId="0" fontId="34" fillId="0" borderId="1" xfId="0" applyFont="1" applyBorder="1" applyAlignment="1">
      <alignment vertical="center"/>
    </xf>
    <xf numFmtId="0" fontId="37" fillId="0" borderId="1" xfId="0" applyFont="1" applyBorder="1" applyAlignment="1">
      <alignment horizontal="right" vertical="center"/>
    </xf>
    <xf numFmtId="0" fontId="37" fillId="0" borderId="1" xfId="0" applyFont="1" applyBorder="1" applyAlignment="1">
      <alignment horizontal="center" vertical="center"/>
    </xf>
    <xf numFmtId="43" fontId="38" fillId="0" borderId="1" xfId="1" applyFont="1" applyBorder="1" applyAlignment="1">
      <alignment vertical="center"/>
    </xf>
    <xf numFmtId="0" fontId="39" fillId="0" borderId="1" xfId="0" applyFont="1" applyBorder="1" applyAlignment="1">
      <alignment vertical="center" wrapText="1"/>
    </xf>
    <xf numFmtId="0" fontId="39" fillId="0" borderId="1" xfId="0" applyFont="1" applyBorder="1" applyAlignment="1">
      <alignment horizontal="center" wrapText="1"/>
    </xf>
    <xf numFmtId="0" fontId="35" fillId="0" borderId="1" xfId="0" applyFont="1" applyBorder="1" applyAlignment="1">
      <alignment horizontal="right" vertical="center"/>
    </xf>
    <xf numFmtId="43" fontId="35" fillId="0" borderId="1" xfId="1" applyFont="1" applyBorder="1" applyAlignment="1">
      <alignment vertical="center"/>
    </xf>
    <xf numFmtId="0" fontId="39" fillId="0" borderId="1" xfId="0" applyFont="1" applyBorder="1" applyAlignment="1">
      <alignment vertical="center"/>
    </xf>
    <xf numFmtId="0" fontId="39" fillId="0" borderId="1" xfId="0" applyFont="1" applyFill="1" applyBorder="1" applyAlignment="1">
      <alignment horizontal="center"/>
    </xf>
    <xf numFmtId="0" fontId="39" fillId="0" borderId="1" xfId="0" applyFont="1" applyBorder="1" applyAlignment="1">
      <alignment horizontal="center"/>
    </xf>
    <xf numFmtId="0" fontId="40" fillId="0" borderId="1" xfId="0" applyFont="1" applyBorder="1" applyAlignment="1">
      <alignment vertical="center"/>
    </xf>
    <xf numFmtId="44" fontId="38" fillId="0" borderId="1" xfId="2" applyFont="1" applyBorder="1" applyAlignment="1">
      <alignment vertical="center"/>
    </xf>
    <xf numFmtId="0" fontId="39" fillId="0" borderId="1" xfId="0" applyFont="1" applyBorder="1" applyAlignment="1">
      <alignment horizontal="center" vertical="center"/>
    </xf>
    <xf numFmtId="0" fontId="2" fillId="0" borderId="3" xfId="0" applyFont="1" applyFill="1" applyBorder="1" applyAlignment="1">
      <alignment vertical="center" wrapText="1"/>
    </xf>
    <xf numFmtId="2" fontId="38" fillId="0" borderId="4" xfId="0" applyNumberFormat="1" applyFont="1" applyFill="1" applyBorder="1" applyAlignment="1">
      <alignment vertical="center" wrapText="1"/>
    </xf>
    <xf numFmtId="0" fontId="37" fillId="0" borderId="1" xfId="0" applyFont="1" applyFill="1" applyBorder="1" applyAlignment="1">
      <alignment horizontal="center" vertical="center"/>
    </xf>
    <xf numFmtId="0" fontId="39" fillId="0" borderId="1" xfId="0" applyFont="1" applyFill="1" applyBorder="1" applyAlignment="1">
      <alignment horizontal="center" vertical="center"/>
    </xf>
    <xf numFmtId="2" fontId="0" fillId="0" borderId="1" xfId="0" applyNumberFormat="1" applyFont="1" applyFill="1" applyBorder="1" applyAlignment="1">
      <alignment vertical="center" wrapText="1"/>
    </xf>
    <xf numFmtId="0" fontId="39" fillId="0" borderId="1" xfId="0" applyFont="1" applyFill="1" applyBorder="1" applyAlignment="1">
      <alignment vertical="center"/>
    </xf>
    <xf numFmtId="0" fontId="0" fillId="0" borderId="1" xfId="0" applyFont="1" applyFill="1" applyBorder="1" applyAlignment="1">
      <alignment vertical="center" wrapText="1"/>
    </xf>
    <xf numFmtId="44" fontId="42" fillId="12" borderId="1" xfId="2" applyFont="1" applyFill="1" applyBorder="1" applyAlignment="1">
      <alignment vertical="center"/>
    </xf>
    <xf numFmtId="0" fontId="0" fillId="0" borderId="21" xfId="0" applyBorder="1" applyAlignment="1">
      <alignment wrapText="1"/>
    </xf>
    <xf numFmtId="0" fontId="0" fillId="0" borderId="0" xfId="0" applyAlignment="1"/>
    <xf numFmtId="0" fontId="31" fillId="0" borderId="0" xfId="0" applyFont="1" applyFill="1" applyAlignment="1">
      <alignment vertical="center"/>
    </xf>
    <xf numFmtId="0" fontId="32" fillId="0" borderId="0" xfId="0" applyFont="1" applyFill="1" applyAlignment="1">
      <alignment vertical="center"/>
    </xf>
    <xf numFmtId="0" fontId="32" fillId="0" borderId="0" xfId="0" applyFont="1" applyFill="1" applyAlignment="1">
      <alignment horizontal="center" vertical="center"/>
    </xf>
    <xf numFmtId="167" fontId="31" fillId="0" borderId="0" xfId="0" applyNumberFormat="1" applyFont="1" applyFill="1" applyAlignment="1">
      <alignment horizontal="left" vertical="center"/>
    </xf>
    <xf numFmtId="0" fontId="33" fillId="0" borderId="0" xfId="0" applyFont="1" applyFill="1" applyAlignment="1">
      <alignment vertical="center"/>
    </xf>
    <xf numFmtId="0" fontId="33" fillId="0" borderId="0" xfId="0" applyFont="1" applyFill="1" applyAlignment="1">
      <alignment horizontal="right" vertical="center"/>
    </xf>
    <xf numFmtId="0" fontId="33" fillId="0" borderId="0" xfId="0" applyFont="1" applyFill="1" applyAlignment="1">
      <alignment vertical="center" wrapText="1"/>
    </xf>
    <xf numFmtId="167" fontId="33" fillId="0" borderId="0" xfId="0" applyNumberFormat="1" applyFont="1" applyFill="1" applyAlignment="1">
      <alignment vertical="center"/>
    </xf>
    <xf numFmtId="0" fontId="0" fillId="0" borderId="0" xfId="0" applyFill="1"/>
    <xf numFmtId="0" fontId="0" fillId="0" borderId="0" xfId="0" applyFill="1" applyAlignment="1">
      <alignment horizontal="right"/>
    </xf>
    <xf numFmtId="0" fontId="0" fillId="0" borderId="0" xfId="0" applyFill="1" applyAlignment="1">
      <alignment wrapText="1"/>
    </xf>
    <xf numFmtId="49" fontId="31" fillId="0" borderId="0" xfId="0" applyNumberFormat="1" applyFont="1" applyFill="1" applyBorder="1" applyAlignment="1">
      <alignment horizontal="left" vertical="center" wrapText="1"/>
    </xf>
    <xf numFmtId="0" fontId="31" fillId="0" borderId="0" xfId="0" applyFont="1" applyFill="1" applyAlignment="1">
      <alignment horizontal="left" vertical="center" wrapText="1"/>
    </xf>
    <xf numFmtId="0" fontId="31" fillId="0" borderId="0" xfId="0" applyFont="1" applyFill="1" applyBorder="1" applyAlignment="1">
      <alignment horizontal="left" vertical="center" wrapText="1"/>
    </xf>
    <xf numFmtId="0" fontId="35" fillId="0" borderId="1" xfId="0" applyFont="1" applyFill="1" applyBorder="1" applyAlignment="1">
      <alignment vertical="center"/>
    </xf>
    <xf numFmtId="43" fontId="33" fillId="0" borderId="0" xfId="1" applyFont="1" applyFill="1" applyAlignment="1">
      <alignment horizontal="center" vertical="center"/>
    </xf>
    <xf numFmtId="43" fontId="0" fillId="0" borderId="0" xfId="1" applyFont="1" applyFill="1" applyAlignment="1">
      <alignment horizontal="center"/>
    </xf>
    <xf numFmtId="0" fontId="0" fillId="0" borderId="21" xfId="0" applyBorder="1" applyAlignment="1">
      <alignment horizontal="center" wrapText="1"/>
    </xf>
    <xf numFmtId="0" fontId="0" fillId="0" borderId="0" xfId="0" applyAlignment="1">
      <alignment horizontal="center" wrapText="1"/>
    </xf>
    <xf numFmtId="0" fontId="35" fillId="0" borderId="4" xfId="0" applyFont="1" applyFill="1" applyBorder="1" applyAlignment="1">
      <alignment vertical="center"/>
    </xf>
    <xf numFmtId="0" fontId="37" fillId="0" borderId="2" xfId="0" applyFont="1" applyBorder="1" applyAlignment="1">
      <alignment vertical="center"/>
    </xf>
    <xf numFmtId="0" fontId="37" fillId="0" borderId="4" xfId="0" applyFont="1" applyBorder="1" applyAlignment="1">
      <alignment vertical="center"/>
    </xf>
    <xf numFmtId="3" fontId="35" fillId="0" borderId="1" xfId="0" applyNumberFormat="1" applyFont="1" applyFill="1" applyBorder="1" applyAlignment="1">
      <alignment horizontal="center" vertical="center"/>
    </xf>
    <xf numFmtId="3" fontId="35" fillId="0" borderId="2" xfId="0" applyNumberFormat="1" applyFont="1" applyFill="1" applyBorder="1" applyAlignment="1">
      <alignment vertical="center"/>
    </xf>
    <xf numFmtId="3" fontId="38" fillId="0" borderId="3" xfId="1" applyNumberFormat="1" applyFont="1" applyFill="1" applyBorder="1" applyAlignment="1">
      <alignment horizontal="center" vertical="center"/>
    </xf>
    <xf numFmtId="0" fontId="9" fillId="6" borderId="12" xfId="0" applyFont="1" applyFill="1" applyBorder="1" applyAlignment="1">
      <alignment horizontal="left" vertical="center" wrapText="1"/>
    </xf>
    <xf numFmtId="0" fontId="9" fillId="6" borderId="12" xfId="0" applyFont="1" applyFill="1" applyBorder="1" applyAlignment="1">
      <alignment horizontal="right" vertical="center" wrapText="1"/>
    </xf>
    <xf numFmtId="4" fontId="9" fillId="6" borderId="12" xfId="0" applyNumberFormat="1" applyFont="1" applyFill="1" applyBorder="1" applyAlignment="1">
      <alignment horizontal="right" vertical="center" wrapText="1"/>
    </xf>
    <xf numFmtId="0" fontId="12" fillId="5" borderId="12" xfId="0" applyFont="1" applyFill="1" applyBorder="1" applyAlignment="1">
      <alignment horizontal="left" vertical="center" wrapText="1"/>
    </xf>
    <xf numFmtId="0" fontId="12" fillId="5" borderId="12" xfId="0" applyFont="1" applyFill="1" applyBorder="1" applyAlignment="1">
      <alignment horizontal="right" vertical="center" wrapText="1"/>
    </xf>
    <xf numFmtId="0" fontId="12" fillId="5" borderId="12" xfId="0" applyFont="1" applyFill="1" applyBorder="1" applyAlignment="1">
      <alignment horizontal="center" vertical="center" wrapText="1"/>
    </xf>
    <xf numFmtId="0" fontId="13" fillId="8" borderId="12" xfId="0" applyFont="1" applyFill="1" applyBorder="1" applyAlignment="1">
      <alignment horizontal="left" vertical="center" wrapText="1"/>
    </xf>
    <xf numFmtId="0" fontId="13" fillId="8" borderId="12" xfId="0" applyFont="1" applyFill="1" applyBorder="1" applyAlignment="1">
      <alignment horizontal="right" vertical="center" wrapText="1"/>
    </xf>
    <xf numFmtId="0" fontId="13" fillId="8" borderId="12" xfId="0" applyFont="1" applyFill="1" applyBorder="1" applyAlignment="1">
      <alignment horizontal="center" vertical="center" wrapText="1"/>
    </xf>
    <xf numFmtId="165" fontId="13" fillId="8" borderId="12" xfId="0" applyNumberFormat="1" applyFont="1" applyFill="1" applyBorder="1" applyAlignment="1">
      <alignment horizontal="right" vertical="center" wrapText="1"/>
    </xf>
    <xf numFmtId="4" fontId="13" fillId="8" borderId="12" xfId="0" applyNumberFormat="1" applyFont="1" applyFill="1" applyBorder="1" applyAlignment="1">
      <alignment horizontal="right" vertical="center" wrapText="1"/>
    </xf>
    <xf numFmtId="0" fontId="11" fillId="10" borderId="12" xfId="0" applyFont="1" applyFill="1" applyBorder="1" applyAlignment="1">
      <alignment horizontal="left" vertical="center" wrapText="1"/>
    </xf>
    <xf numFmtId="0" fontId="11" fillId="10" borderId="12" xfId="0" applyFont="1" applyFill="1" applyBorder="1" applyAlignment="1">
      <alignment horizontal="right" vertical="center" wrapText="1"/>
    </xf>
    <xf numFmtId="0" fontId="11" fillId="10" borderId="12" xfId="0" applyFont="1" applyFill="1" applyBorder="1" applyAlignment="1">
      <alignment horizontal="center" vertical="center" wrapText="1"/>
    </xf>
    <xf numFmtId="165" fontId="11" fillId="10" borderId="12" xfId="0" applyNumberFormat="1" applyFont="1" applyFill="1" applyBorder="1" applyAlignment="1">
      <alignment horizontal="right" vertical="center" wrapText="1"/>
    </xf>
    <xf numFmtId="4" fontId="11" fillId="10" borderId="12" xfId="0" applyNumberFormat="1" applyFont="1" applyFill="1" applyBorder="1" applyAlignment="1">
      <alignment horizontal="right" vertical="center" wrapText="1"/>
    </xf>
    <xf numFmtId="0" fontId="11" fillId="9" borderId="12" xfId="0" applyFont="1" applyFill="1" applyBorder="1" applyAlignment="1">
      <alignment horizontal="left" vertical="center" wrapText="1"/>
    </xf>
    <xf numFmtId="0" fontId="11" fillId="9" borderId="12" xfId="0" applyFont="1" applyFill="1" applyBorder="1" applyAlignment="1">
      <alignment horizontal="right" vertical="center" wrapText="1"/>
    </xf>
    <xf numFmtId="0" fontId="11" fillId="9" borderId="12" xfId="0" applyFont="1" applyFill="1" applyBorder="1" applyAlignment="1">
      <alignment horizontal="center" vertical="center" wrapText="1"/>
    </xf>
    <xf numFmtId="165" fontId="11" fillId="9" borderId="12" xfId="0" applyNumberFormat="1" applyFont="1" applyFill="1" applyBorder="1" applyAlignment="1">
      <alignment horizontal="right" vertical="center" wrapText="1"/>
    </xf>
    <xf numFmtId="4" fontId="11" fillId="9" borderId="12" xfId="0" applyNumberFormat="1" applyFont="1" applyFill="1" applyBorder="1" applyAlignment="1">
      <alignment horizontal="right" vertical="center" wrapText="1"/>
    </xf>
    <xf numFmtId="0" fontId="11" fillId="5" borderId="0" xfId="0" applyFont="1" applyFill="1" applyAlignment="1">
      <alignment horizontal="right" vertical="center" wrapText="1"/>
    </xf>
    <xf numFmtId="4" fontId="11" fillId="5" borderId="0" xfId="0" applyNumberFormat="1" applyFont="1" applyFill="1" applyAlignment="1">
      <alignment horizontal="right" vertical="center" wrapText="1"/>
    </xf>
    <xf numFmtId="0" fontId="10" fillId="5" borderId="0" xfId="0" applyFont="1" applyFill="1" applyAlignment="1">
      <alignment horizontal="right" vertical="center" wrapText="1"/>
    </xf>
    <xf numFmtId="165" fontId="10" fillId="5" borderId="0" xfId="0" applyNumberFormat="1" applyFont="1" applyFill="1" applyAlignment="1">
      <alignment horizontal="right" vertical="center" wrapText="1"/>
    </xf>
    <xf numFmtId="4" fontId="10" fillId="5" borderId="0" xfId="0" applyNumberFormat="1" applyFont="1" applyFill="1" applyAlignment="1">
      <alignment horizontal="right" vertical="center" wrapText="1"/>
    </xf>
    <xf numFmtId="0" fontId="13" fillId="8" borderId="13" xfId="0" applyFont="1" applyFill="1" applyBorder="1" applyAlignment="1">
      <alignment horizontal="left" vertical="center" wrapText="1"/>
    </xf>
    <xf numFmtId="0" fontId="13" fillId="7" borderId="12" xfId="0" applyFont="1" applyFill="1" applyBorder="1" applyAlignment="1">
      <alignment horizontal="left" vertical="center" wrapText="1"/>
    </xf>
    <xf numFmtId="0" fontId="13" fillId="7" borderId="12" xfId="0" applyFont="1" applyFill="1" applyBorder="1" applyAlignment="1">
      <alignment horizontal="right" vertical="center" wrapText="1"/>
    </xf>
    <xf numFmtId="0" fontId="13" fillId="7" borderId="12" xfId="0" applyFont="1" applyFill="1" applyBorder="1" applyAlignment="1">
      <alignment horizontal="center" vertical="center" wrapText="1"/>
    </xf>
    <xf numFmtId="165" fontId="13" fillId="7" borderId="12" xfId="0" applyNumberFormat="1" applyFont="1" applyFill="1" applyBorder="1" applyAlignment="1">
      <alignment horizontal="right" vertical="center" wrapText="1"/>
    </xf>
    <xf numFmtId="4" fontId="13" fillId="7" borderId="12" xfId="0" applyNumberFormat="1" applyFont="1" applyFill="1" applyBorder="1" applyAlignment="1">
      <alignment horizontal="right" vertical="center" wrapText="1"/>
    </xf>
    <xf numFmtId="0" fontId="12" fillId="5" borderId="23" xfId="0" applyFont="1" applyFill="1" applyBorder="1" applyAlignment="1">
      <alignment horizontal="left" vertical="center" wrapText="1"/>
    </xf>
    <xf numFmtId="0" fontId="12" fillId="5" borderId="23" xfId="0" applyFont="1" applyFill="1" applyBorder="1" applyAlignment="1">
      <alignment horizontal="right" vertical="center" wrapText="1"/>
    </xf>
    <xf numFmtId="0" fontId="12" fillId="5" borderId="23" xfId="0" applyFont="1" applyFill="1" applyBorder="1" applyAlignment="1">
      <alignment horizontal="center" vertical="center" wrapText="1"/>
    </xf>
    <xf numFmtId="0" fontId="9" fillId="6" borderId="24" xfId="0" applyFont="1" applyFill="1" applyBorder="1" applyAlignment="1">
      <alignment horizontal="left" vertical="center" wrapText="1"/>
    </xf>
    <xf numFmtId="0" fontId="9" fillId="6" borderId="24" xfId="0" applyFont="1" applyFill="1" applyBorder="1" applyAlignment="1">
      <alignment horizontal="right" vertical="center" wrapText="1"/>
    </xf>
    <xf numFmtId="4" fontId="9" fillId="6" borderId="24" xfId="0" applyNumberFormat="1" applyFont="1" applyFill="1" applyBorder="1" applyAlignment="1">
      <alignment horizontal="right" vertical="center" wrapText="1"/>
    </xf>
    <xf numFmtId="0" fontId="0" fillId="0" borderId="29" xfId="0" applyBorder="1" applyAlignment="1">
      <alignment vertical="center"/>
    </xf>
    <xf numFmtId="167" fontId="0" fillId="0" borderId="0" xfId="2" applyNumberFormat="1" applyFont="1"/>
    <xf numFmtId="44" fontId="0" fillId="0" borderId="0" xfId="0" applyNumberFormat="1" applyAlignment="1">
      <alignment wrapText="1"/>
    </xf>
    <xf numFmtId="0" fontId="7" fillId="0" borderId="1" xfId="0" applyFont="1" applyFill="1" applyBorder="1" applyAlignment="1">
      <alignment horizontal="justify" vertical="center"/>
    </xf>
    <xf numFmtId="0" fontId="35" fillId="0" borderId="1" xfId="0" applyFont="1" applyFill="1" applyBorder="1" applyAlignment="1">
      <alignment vertical="center" wrapText="1"/>
    </xf>
    <xf numFmtId="49" fontId="31" fillId="0" borderId="0" xfId="0" applyNumberFormat="1" applyFont="1" applyFill="1" applyBorder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49" fontId="31" fillId="0" borderId="0" xfId="0" applyNumberFormat="1" applyFont="1" applyFill="1" applyBorder="1" applyAlignment="1">
      <alignment horizontal="left" vertical="center" wrapText="1"/>
    </xf>
    <xf numFmtId="0" fontId="31" fillId="0" borderId="0" xfId="0" applyFont="1" applyFill="1" applyAlignment="1">
      <alignment horizontal="left" vertical="center" wrapText="1"/>
    </xf>
    <xf numFmtId="0" fontId="31" fillId="0" borderId="0" xfId="0" applyFont="1" applyFill="1" applyBorder="1" applyAlignment="1">
      <alignment horizontal="left" vertical="center" wrapText="1"/>
    </xf>
    <xf numFmtId="0" fontId="41" fillId="12" borderId="2" xfId="0" applyFont="1" applyFill="1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34" fillId="12" borderId="2" xfId="0" applyFont="1" applyFill="1" applyBorder="1" applyAlignment="1">
      <alignment horizontal="left" vertical="center"/>
    </xf>
    <xf numFmtId="0" fontId="34" fillId="12" borderId="3" xfId="0" applyFont="1" applyFill="1" applyBorder="1" applyAlignment="1">
      <alignment horizontal="left" vertical="center"/>
    </xf>
    <xf numFmtId="0" fontId="34" fillId="12" borderId="4" xfId="0" applyFont="1" applyFill="1" applyBorder="1" applyAlignment="1">
      <alignment horizontal="left" vertical="center"/>
    </xf>
    <xf numFmtId="0" fontId="11" fillId="9" borderId="12" xfId="0" applyFont="1" applyFill="1" applyBorder="1" applyAlignment="1">
      <alignment horizontal="left" vertical="center" wrapText="1"/>
    </xf>
    <xf numFmtId="0" fontId="11" fillId="5" borderId="0" xfId="0" applyFont="1" applyFill="1" applyAlignment="1">
      <alignment horizontal="right" vertical="center" wrapText="1"/>
    </xf>
    <xf numFmtId="0" fontId="12" fillId="5" borderId="23" xfId="0" applyFont="1" applyFill="1" applyBorder="1" applyAlignment="1">
      <alignment horizontal="left" vertical="center" wrapText="1"/>
    </xf>
    <xf numFmtId="0" fontId="13" fillId="8" borderId="12" xfId="0" applyFont="1" applyFill="1" applyBorder="1" applyAlignment="1">
      <alignment horizontal="left" vertical="center" wrapText="1"/>
    </xf>
    <xf numFmtId="0" fontId="11" fillId="10" borderId="12" xfId="0" applyFont="1" applyFill="1" applyBorder="1" applyAlignment="1">
      <alignment horizontal="left" vertical="center" wrapText="1"/>
    </xf>
    <xf numFmtId="0" fontId="13" fillId="7" borderId="12" xfId="0" applyFont="1" applyFill="1" applyBorder="1" applyAlignment="1">
      <alignment horizontal="left" vertical="center" wrapText="1"/>
    </xf>
    <xf numFmtId="0" fontId="13" fillId="7" borderId="25" xfId="0" applyFont="1" applyFill="1" applyBorder="1" applyAlignment="1">
      <alignment horizontal="left" vertical="center" wrapText="1"/>
    </xf>
    <xf numFmtId="0" fontId="13" fillId="7" borderId="26" xfId="0" applyFont="1" applyFill="1" applyBorder="1" applyAlignment="1">
      <alignment horizontal="left" vertical="center" wrapText="1"/>
    </xf>
    <xf numFmtId="0" fontId="9" fillId="6" borderId="12" xfId="0" applyFont="1" applyFill="1" applyBorder="1" applyAlignment="1">
      <alignment horizontal="left" vertical="center" wrapText="1"/>
    </xf>
    <xf numFmtId="0" fontId="44" fillId="8" borderId="12" xfId="0" applyFont="1" applyFill="1" applyBorder="1" applyAlignment="1">
      <alignment horizontal="left" vertical="center" wrapText="1"/>
    </xf>
    <xf numFmtId="0" fontId="43" fillId="10" borderId="12" xfId="0" applyFont="1" applyFill="1" applyBorder="1" applyAlignment="1">
      <alignment horizontal="left" vertical="center" wrapText="1"/>
    </xf>
    <xf numFmtId="0" fontId="11" fillId="5" borderId="0" xfId="0" applyFont="1" applyFill="1" applyAlignment="1">
      <alignment horizontal="center" vertical="center" wrapText="1"/>
    </xf>
    <xf numFmtId="0" fontId="11" fillId="5" borderId="0" xfId="0" applyFont="1" applyFill="1" applyBorder="1" applyAlignment="1">
      <alignment horizontal="center" vertical="center" wrapText="1"/>
    </xf>
    <xf numFmtId="0" fontId="3" fillId="2" borderId="14" xfId="0" applyFont="1" applyFill="1" applyBorder="1" applyAlignment="1">
      <alignment horizontal="center" vertical="center"/>
    </xf>
    <xf numFmtId="0" fontId="3" fillId="2" borderId="16" xfId="0" applyFont="1" applyFill="1" applyBorder="1" applyAlignment="1">
      <alignment horizontal="center" vertical="center"/>
    </xf>
    <xf numFmtId="0" fontId="3" fillId="2" borderId="17" xfId="0" applyFont="1" applyFill="1" applyBorder="1" applyAlignment="1">
      <alignment horizontal="center" vertical="center"/>
    </xf>
    <xf numFmtId="0" fontId="9" fillId="6" borderId="24" xfId="0" applyFont="1" applyFill="1" applyBorder="1" applyAlignment="1">
      <alignment horizontal="left" vertical="center" wrapText="1"/>
    </xf>
    <xf numFmtId="0" fontId="12" fillId="5" borderId="12" xfId="0" applyFont="1" applyFill="1" applyBorder="1" applyAlignment="1">
      <alignment horizontal="left" vertical="center" wrapText="1"/>
    </xf>
    <xf numFmtId="0" fontId="11" fillId="5" borderId="22" xfId="0" applyFont="1" applyFill="1" applyBorder="1" applyAlignment="1">
      <alignment horizontal="center" vertical="center" wrapText="1"/>
    </xf>
    <xf numFmtId="0" fontId="12" fillId="5" borderId="27" xfId="0" applyFont="1" applyFill="1" applyBorder="1" applyAlignment="1">
      <alignment horizontal="left" vertical="center" wrapText="1"/>
    </xf>
    <xf numFmtId="0" fontId="12" fillId="5" borderId="28" xfId="0" applyFont="1" applyFill="1" applyBorder="1" applyAlignment="1">
      <alignment horizontal="left" vertical="center" wrapText="1"/>
    </xf>
    <xf numFmtId="44" fontId="29" fillId="2" borderId="0" xfId="2" applyFont="1" applyFill="1" applyBorder="1" applyAlignment="1">
      <alignment horizontal="center"/>
    </xf>
    <xf numFmtId="44" fontId="14" fillId="2" borderId="0" xfId="2" applyFont="1" applyFill="1" applyBorder="1" applyAlignment="1">
      <alignment horizontal="center"/>
    </xf>
    <xf numFmtId="0" fontId="4" fillId="3" borderId="1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/>
    </xf>
    <xf numFmtId="0" fontId="3" fillId="2" borderId="0" xfId="0" applyFont="1" applyFill="1" applyAlignment="1">
      <alignment horizontal="center"/>
    </xf>
    <xf numFmtId="166" fontId="18" fillId="0" borderId="0" xfId="5" applyNumberFormat="1" applyFont="1" applyAlignment="1">
      <alignment horizontal="left" vertical="center" wrapText="1"/>
    </xf>
    <xf numFmtId="166" fontId="20" fillId="16" borderId="14" xfId="5" applyNumberFormat="1" applyFont="1" applyFill="1" applyBorder="1" applyAlignment="1">
      <alignment horizontal="center" vertical="center" wrapText="1"/>
    </xf>
    <xf numFmtId="166" fontId="20" fillId="16" borderId="15" xfId="5" applyNumberFormat="1" applyFont="1" applyFill="1" applyBorder="1" applyAlignment="1">
      <alignment horizontal="center" vertical="center" wrapText="1"/>
    </xf>
    <xf numFmtId="166" fontId="20" fillId="16" borderId="16" xfId="5" applyNumberFormat="1" applyFont="1" applyFill="1" applyBorder="1" applyAlignment="1">
      <alignment horizontal="center" vertical="center" wrapText="1"/>
    </xf>
    <xf numFmtId="0" fontId="23" fillId="4" borderId="1" xfId="0" applyFont="1" applyFill="1" applyBorder="1" applyAlignment="1">
      <alignment horizontal="center" vertical="center" wrapText="1"/>
    </xf>
    <xf numFmtId="0" fontId="27" fillId="0" borderId="0" xfId="7" applyFont="1" applyAlignment="1">
      <alignment horizontal="center" vertical="center" wrapText="1"/>
    </xf>
    <xf numFmtId="43" fontId="0" fillId="0" borderId="1" xfId="1" applyFont="1" applyBorder="1" applyAlignment="1">
      <alignment horizontal="left" wrapText="1"/>
    </xf>
    <xf numFmtId="43" fontId="7" fillId="13" borderId="1" xfId="1" applyFont="1" applyFill="1" applyBorder="1" applyAlignment="1">
      <alignment horizontal="left" vertical="top"/>
    </xf>
    <xf numFmtId="43" fontId="2" fillId="12" borderId="6" xfId="1" applyFont="1" applyFill="1" applyBorder="1" applyAlignment="1">
      <alignment horizontal="left" wrapText="1"/>
    </xf>
    <xf numFmtId="43" fontId="7" fillId="13" borderId="2" xfId="1" applyFont="1" applyFill="1" applyBorder="1" applyAlignment="1">
      <alignment horizontal="left" vertical="top"/>
    </xf>
    <xf numFmtId="43" fontId="7" fillId="13" borderId="3" xfId="1" applyFont="1" applyFill="1" applyBorder="1" applyAlignment="1">
      <alignment horizontal="left" vertical="top"/>
    </xf>
    <xf numFmtId="43" fontId="7" fillId="13" borderId="4" xfId="1" applyFont="1" applyFill="1" applyBorder="1" applyAlignment="1">
      <alignment horizontal="left" vertical="top"/>
    </xf>
    <xf numFmtId="43" fontId="7" fillId="13" borderId="2" xfId="1" applyFont="1" applyFill="1" applyBorder="1" applyAlignment="1">
      <alignment vertical="top"/>
    </xf>
    <xf numFmtId="43" fontId="7" fillId="13" borderId="3" xfId="1" applyFont="1" applyFill="1" applyBorder="1" applyAlignment="1">
      <alignment vertical="top"/>
    </xf>
    <xf numFmtId="43" fontId="7" fillId="13" borderId="4" xfId="1" applyFont="1" applyFill="1" applyBorder="1" applyAlignment="1">
      <alignment vertical="top"/>
    </xf>
    <xf numFmtId="43" fontId="16" fillId="15" borderId="1" xfId="1" applyFont="1" applyFill="1" applyBorder="1" applyAlignment="1">
      <alignment horizontal="left" vertical="top"/>
    </xf>
    <xf numFmtId="43" fontId="2" fillId="12" borderId="1" xfId="1" applyFont="1" applyFill="1" applyBorder="1" applyAlignment="1">
      <alignment horizontal="left" wrapText="1"/>
    </xf>
    <xf numFmtId="43" fontId="0" fillId="0" borderId="1" xfId="1" applyFont="1" applyBorder="1" applyAlignment="1"/>
    <xf numFmtId="0" fontId="3" fillId="2" borderId="1" xfId="0" applyFont="1" applyFill="1" applyBorder="1" applyAlignment="1">
      <alignment horizontal="center"/>
    </xf>
    <xf numFmtId="0" fontId="4" fillId="3" borderId="2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43" fontId="0" fillId="0" borderId="2" xfId="1" applyFont="1" applyBorder="1" applyAlignment="1">
      <alignment horizontal="left" wrapText="1"/>
    </xf>
    <xf numFmtId="43" fontId="0" fillId="0" borderId="3" xfId="1" applyFont="1" applyBorder="1" applyAlignment="1">
      <alignment horizontal="left" wrapText="1"/>
    </xf>
    <xf numFmtId="43" fontId="0" fillId="0" borderId="4" xfId="1" applyFont="1" applyBorder="1" applyAlignment="1">
      <alignment horizontal="left" wrapText="1"/>
    </xf>
    <xf numFmtId="43" fontId="0" fillId="0" borderId="1" xfId="1" applyFont="1" applyBorder="1" applyAlignment="1">
      <alignment horizontal="center"/>
    </xf>
    <xf numFmtId="43" fontId="0" fillId="0" borderId="1" xfId="1" applyFont="1" applyBorder="1" applyAlignment="1">
      <alignment horizontal="left"/>
    </xf>
  </cellXfs>
  <cellStyles count="8">
    <cellStyle name="Moeda" xfId="2" builtinId="4"/>
    <cellStyle name="Normal" xfId="0" builtinId="0"/>
    <cellStyle name="Normal 2" xfId="4"/>
    <cellStyle name="Normal 2 10" xfId="5"/>
    <cellStyle name="Normal_Planilha Elesbão Veloso - Urgência e Acesso Lavanderia" xfId="7"/>
    <cellStyle name="Porcentagem" xfId="3" builtinId="5"/>
    <cellStyle name="Porcentagem 2" xfId="6"/>
    <cellStyle name="Vírgula" xfId="1" builtinId="3"/>
  </cellStyles>
  <dxfs count="6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alignment horizontal="center" vertical="bottom" textRotation="0" wrapText="0" indent="0" justifyLastLine="0" shrinkToFit="0" readingOrder="0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1104900</xdr:colOff>
      <xdr:row>28</xdr:row>
      <xdr:rowOff>47625</xdr:rowOff>
    </xdr:from>
    <xdr:to>
      <xdr:col>2</xdr:col>
      <xdr:colOff>2019300</xdr:colOff>
      <xdr:row>31</xdr:row>
      <xdr:rowOff>171450</xdr:rowOff>
    </xdr:to>
    <xdr:sp macro="" textlink="">
      <xdr:nvSpPr>
        <xdr:cNvPr id="6" name="CaixaDeTexto 15">
          <a:extLst>
            <a:ext uri="{FF2B5EF4-FFF2-40B4-BE49-F238E27FC236}">
              <a16:creationId xmlns:a16="http://schemas.microsoft.com/office/drawing/2014/main" id="{D7863960-B062-4606-B285-2F57843F2834}"/>
            </a:ext>
          </a:extLst>
        </xdr:cNvPr>
        <xdr:cNvSpPr txBox="1">
          <a:spLocks noChangeArrowheads="1"/>
        </xdr:cNvSpPr>
      </xdr:nvSpPr>
      <xdr:spPr bwMode="auto">
        <a:xfrm>
          <a:off x="2247900" y="6705600"/>
          <a:ext cx="4248150" cy="695325"/>
        </a:xfrm>
        <a:prstGeom prst="rect">
          <a:avLst/>
        </a:prstGeom>
        <a:solidFill>
          <a:srgbClr val="558ED5"/>
        </a:solidFill>
        <a:ln w="25400" algn="ctr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endParaRPr lang="pt-BR" sz="1100" b="0" i="1" u="none" strike="noStrike" baseline="0">
            <a:solidFill>
              <a:srgbClr val="000000"/>
            </a:solidFill>
            <a:latin typeface="Cambria Math"/>
            <a:ea typeface="Cambria Math"/>
          </a:endParaRPr>
        </a:p>
        <a:p>
          <a:pPr algn="ctr" rtl="0">
            <a:defRPr sz="1000"/>
          </a:pPr>
          <a:r>
            <a:rPr lang="pt-BR" sz="1100" b="1" i="0" u="none" strike="noStrike" baseline="0">
              <a:solidFill>
                <a:srgbClr val="000000"/>
              </a:solidFill>
              <a:latin typeface="Cambria Math"/>
              <a:ea typeface="Cambria Math"/>
            </a:rPr>
            <a:t>BDI=(( 1 + AC + S + G + R ) ∗ ( 1 + DF ) ∗ ( 1 + L ))/((1-I))-1</a:t>
          </a:r>
          <a:endParaRPr lang="pt-BR" sz="1800" b="1" i="0" u="none" strike="noStrike" baseline="0">
            <a:solidFill>
              <a:srgbClr val="000000"/>
            </a:solidFill>
            <a:latin typeface="Calibri"/>
          </a:endParaRPr>
        </a:p>
        <a:p>
          <a:pPr algn="ctr" rtl="0">
            <a:defRPr sz="1000"/>
          </a:pPr>
          <a:r>
            <a:rPr lang="pt-BR" sz="1100" b="1" i="0" u="none" strike="noStrike" baseline="0">
              <a:solidFill>
                <a:srgbClr val="000000"/>
              </a:solidFill>
              <a:latin typeface="Cambria Math"/>
              <a:ea typeface="Cambria Math"/>
            </a:rPr>
            <a:t> 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0ad1538be9b6a16a/01-%20PREFEITURA%20MUNICIPAL%20DE%20URU&#199;U&#205;/02-%20SECRATARIA%20DE%20EDUCA&#199;&#195;O/01-U%20E%20AMANDA%20KARLA/OR&#199;AMENTO%20DE%20REFORMA%20U.E.%20AMANDA%20KARLA%20R0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pa"/>
      <sheetName val="Resumo"/>
      <sheetName val="Pl Orçamentária"/>
      <sheetName val="Cronagrama"/>
      <sheetName val="Memorial de Cálculo"/>
      <sheetName val="BDI"/>
      <sheetName val="Plan1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tables/table1.xml><?xml version="1.0" encoding="utf-8"?>
<table xmlns="http://schemas.openxmlformats.org/spreadsheetml/2006/main" id="1" name="Tabela1" displayName="Tabela1" ref="B2:F44" totalsRowShown="0" dataDxfId="5" tableBorderDxfId="4" dataCellStyle="Vírgula">
  <autoFilter ref="B2:F44"/>
  <tableColumns count="5">
    <tableColumn id="1" name="ITEM " dataDxfId="3"/>
    <tableColumn id="2" name="DESCRIÇÃO "/>
    <tableColumn id="3" name="COMP.(M)" dataDxfId="2" dataCellStyle="Vírgula"/>
    <tableColumn id="4" name="LARG. (M)" dataDxfId="1" dataCellStyle="Vírgula"/>
    <tableColumn id="5" name="ÁREA (M²)" dataDxfId="0" dataCellStyle="Vírgula"/>
  </tableColumns>
  <tableStyleInfo name="TableStyleMedium16" showFirstColumn="0" showLastColumn="0" showRowStripes="1" showColumnStripes="0"/>
</table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B2:L106"/>
  <sheetViews>
    <sheetView tabSelected="1" view="pageBreakPreview" topLeftCell="A28" zoomScale="80" zoomScaleNormal="80" zoomScaleSheetLayoutView="80" workbookViewId="0">
      <selection activeCell="C35" sqref="C35:K40"/>
    </sheetView>
  </sheetViews>
  <sheetFormatPr defaultRowHeight="15" x14ac:dyDescent="0.25"/>
  <cols>
    <col min="2" max="4" width="12.85546875" customWidth="1"/>
    <col min="5" max="5" width="56.42578125" customWidth="1"/>
    <col min="6" max="6" width="21.42578125" customWidth="1"/>
    <col min="7" max="12" width="14.140625" customWidth="1"/>
  </cols>
  <sheetData>
    <row r="2" spans="2:12" x14ac:dyDescent="0.25">
      <c r="B2" s="10"/>
      <c r="L2" s="11"/>
    </row>
    <row r="3" spans="2:12" x14ac:dyDescent="0.25">
      <c r="B3" s="10"/>
      <c r="L3" s="11"/>
    </row>
    <row r="4" spans="2:12" ht="15.75" x14ac:dyDescent="0.25">
      <c r="B4" s="10"/>
      <c r="C4" s="123" t="s">
        <v>545</v>
      </c>
      <c r="D4" s="124"/>
      <c r="E4" s="125"/>
      <c r="F4" s="125"/>
      <c r="G4" s="125"/>
      <c r="H4" s="125"/>
      <c r="I4" s="125"/>
      <c r="J4" s="125"/>
      <c r="K4" s="126"/>
      <c r="L4" s="11"/>
    </row>
    <row r="5" spans="2:12" ht="15.75" x14ac:dyDescent="0.25">
      <c r="B5" s="10"/>
      <c r="C5" s="123" t="s">
        <v>544</v>
      </c>
      <c r="D5" s="127"/>
      <c r="E5" s="127"/>
      <c r="F5" s="127"/>
      <c r="G5" s="128"/>
      <c r="H5" s="138"/>
      <c r="I5" s="129"/>
      <c r="J5" s="129"/>
      <c r="K5" s="130"/>
      <c r="L5" s="11"/>
    </row>
    <row r="6" spans="2:12" ht="15.75" x14ac:dyDescent="0.25">
      <c r="B6" s="10"/>
      <c r="C6" s="123" t="s">
        <v>548</v>
      </c>
      <c r="D6" s="124"/>
      <c r="E6" s="125"/>
      <c r="F6" s="125"/>
      <c r="G6" s="125"/>
      <c r="H6" s="125"/>
      <c r="I6" s="125"/>
      <c r="J6" s="125"/>
      <c r="K6" s="126"/>
      <c r="L6" s="11"/>
    </row>
    <row r="7" spans="2:12" ht="15.75" x14ac:dyDescent="0.25">
      <c r="B7" s="10"/>
      <c r="C7" s="193" t="s">
        <v>496</v>
      </c>
      <c r="D7" s="193"/>
      <c r="E7" s="194"/>
      <c r="F7" s="194"/>
      <c r="G7" s="194"/>
      <c r="H7" s="194"/>
      <c r="I7" s="194"/>
      <c r="J7" s="194"/>
      <c r="K7" s="195"/>
      <c r="L7" s="11"/>
    </row>
    <row r="8" spans="2:12" x14ac:dyDescent="0.25">
      <c r="B8" s="10"/>
      <c r="L8" s="11"/>
    </row>
    <row r="9" spans="2:12" x14ac:dyDescent="0.25">
      <c r="B9" s="10"/>
      <c r="L9" s="11"/>
    </row>
    <row r="10" spans="2:12" x14ac:dyDescent="0.25">
      <c r="B10" s="10"/>
      <c r="L10" s="11"/>
    </row>
    <row r="11" spans="2:12" x14ac:dyDescent="0.25">
      <c r="B11" s="10"/>
      <c r="L11" s="11"/>
    </row>
    <row r="12" spans="2:12" x14ac:dyDescent="0.25">
      <c r="B12" s="10"/>
      <c r="L12" s="11"/>
    </row>
    <row r="13" spans="2:12" x14ac:dyDescent="0.25">
      <c r="B13" s="10"/>
      <c r="L13" s="11"/>
    </row>
    <row r="14" spans="2:12" x14ac:dyDescent="0.25">
      <c r="B14" s="10"/>
      <c r="L14" s="11"/>
    </row>
    <row r="15" spans="2:12" x14ac:dyDescent="0.25">
      <c r="B15" s="10"/>
      <c r="L15" s="11"/>
    </row>
    <row r="16" spans="2:12" x14ac:dyDescent="0.25">
      <c r="B16" s="10"/>
      <c r="L16" s="11"/>
    </row>
    <row r="17" spans="2:12" x14ac:dyDescent="0.25">
      <c r="B17" s="10"/>
      <c r="L17" s="11"/>
    </row>
    <row r="18" spans="2:12" x14ac:dyDescent="0.25">
      <c r="B18" s="10"/>
      <c r="L18" s="11"/>
    </row>
    <row r="19" spans="2:12" x14ac:dyDescent="0.25">
      <c r="B19" s="10"/>
      <c r="L19" s="11"/>
    </row>
    <row r="20" spans="2:12" x14ac:dyDescent="0.25">
      <c r="B20" s="10"/>
      <c r="L20" s="11"/>
    </row>
    <row r="21" spans="2:12" x14ac:dyDescent="0.25">
      <c r="B21" s="10"/>
      <c r="L21" s="11"/>
    </row>
    <row r="22" spans="2:12" x14ac:dyDescent="0.25">
      <c r="B22" s="10"/>
      <c r="L22" s="11"/>
    </row>
    <row r="23" spans="2:12" x14ac:dyDescent="0.25">
      <c r="B23" s="10"/>
      <c r="L23" s="11"/>
    </row>
    <row r="24" spans="2:12" x14ac:dyDescent="0.25">
      <c r="B24" s="10"/>
      <c r="L24" s="11"/>
    </row>
    <row r="25" spans="2:12" x14ac:dyDescent="0.25">
      <c r="B25" s="10"/>
      <c r="L25" s="11"/>
    </row>
    <row r="26" spans="2:12" x14ac:dyDescent="0.25">
      <c r="B26" s="10"/>
      <c r="L26" s="11"/>
    </row>
    <row r="27" spans="2:12" x14ac:dyDescent="0.25">
      <c r="B27" s="10"/>
      <c r="L27" s="11"/>
    </row>
    <row r="28" spans="2:12" x14ac:dyDescent="0.25">
      <c r="B28" s="10"/>
      <c r="L28" s="11"/>
    </row>
    <row r="29" spans="2:12" x14ac:dyDescent="0.25">
      <c r="B29" s="10"/>
      <c r="L29" s="11"/>
    </row>
    <row r="30" spans="2:12" x14ac:dyDescent="0.25">
      <c r="B30" s="10"/>
      <c r="L30" s="11"/>
    </row>
    <row r="31" spans="2:12" x14ac:dyDescent="0.25">
      <c r="B31" s="10"/>
      <c r="L31" s="11"/>
    </row>
    <row r="32" spans="2:12" x14ac:dyDescent="0.25">
      <c r="B32" s="10"/>
      <c r="L32" s="11"/>
    </row>
    <row r="33" spans="2:12" x14ac:dyDescent="0.25">
      <c r="B33" s="10"/>
      <c r="L33" s="11"/>
    </row>
    <row r="34" spans="2:12" x14ac:dyDescent="0.25">
      <c r="B34" s="10"/>
      <c r="L34" s="11"/>
    </row>
    <row r="35" spans="2:12" x14ac:dyDescent="0.25">
      <c r="B35" s="10"/>
      <c r="C35" s="192" t="s">
        <v>556</v>
      </c>
      <c r="D35" s="192"/>
      <c r="E35" s="192"/>
      <c r="F35" s="192"/>
      <c r="G35" s="192"/>
      <c r="H35" s="192"/>
      <c r="I35" s="192"/>
      <c r="J35" s="192"/>
      <c r="K35" s="192"/>
      <c r="L35" s="11"/>
    </row>
    <row r="36" spans="2:12" x14ac:dyDescent="0.25">
      <c r="B36" s="10"/>
      <c r="C36" s="192"/>
      <c r="D36" s="192"/>
      <c r="E36" s="192"/>
      <c r="F36" s="192"/>
      <c r="G36" s="192"/>
      <c r="H36" s="192"/>
      <c r="I36" s="192"/>
      <c r="J36" s="192"/>
      <c r="K36" s="192"/>
      <c r="L36" s="11"/>
    </row>
    <row r="37" spans="2:12" x14ac:dyDescent="0.25">
      <c r="B37" s="10"/>
      <c r="C37" s="192"/>
      <c r="D37" s="192"/>
      <c r="E37" s="192"/>
      <c r="F37" s="192"/>
      <c r="G37" s="192"/>
      <c r="H37" s="192"/>
      <c r="I37" s="192"/>
      <c r="J37" s="192"/>
      <c r="K37" s="192"/>
      <c r="L37" s="11"/>
    </row>
    <row r="38" spans="2:12" x14ac:dyDescent="0.25">
      <c r="B38" s="10"/>
      <c r="C38" s="192"/>
      <c r="D38" s="192"/>
      <c r="E38" s="192"/>
      <c r="F38" s="192"/>
      <c r="G38" s="192"/>
      <c r="H38" s="192"/>
      <c r="I38" s="192"/>
      <c r="J38" s="192"/>
      <c r="K38" s="192"/>
      <c r="L38" s="11"/>
    </row>
    <row r="39" spans="2:12" x14ac:dyDescent="0.25">
      <c r="B39" s="10"/>
      <c r="C39" s="192"/>
      <c r="D39" s="192"/>
      <c r="E39" s="192"/>
      <c r="F39" s="192"/>
      <c r="G39" s="192"/>
      <c r="H39" s="192"/>
      <c r="I39" s="192"/>
      <c r="J39" s="192"/>
      <c r="K39" s="192"/>
      <c r="L39" s="11"/>
    </row>
    <row r="40" spans="2:12" ht="42.75" customHeight="1" x14ac:dyDescent="0.25">
      <c r="B40" s="10"/>
      <c r="C40" s="192"/>
      <c r="D40" s="192"/>
      <c r="E40" s="192"/>
      <c r="F40" s="192"/>
      <c r="G40" s="192"/>
      <c r="H40" s="192"/>
      <c r="I40" s="192"/>
      <c r="J40" s="192"/>
      <c r="K40" s="192"/>
      <c r="L40" s="11"/>
    </row>
    <row r="41" spans="2:12" x14ac:dyDescent="0.25">
      <c r="B41" s="10"/>
      <c r="L41" s="11"/>
    </row>
    <row r="42" spans="2:12" x14ac:dyDescent="0.25">
      <c r="B42" s="10"/>
      <c r="L42" s="11"/>
    </row>
    <row r="43" spans="2:12" x14ac:dyDescent="0.25">
      <c r="B43" s="10"/>
      <c r="L43" s="11"/>
    </row>
    <row r="44" spans="2:12" x14ac:dyDescent="0.25">
      <c r="B44" s="10"/>
      <c r="L44" s="11"/>
    </row>
    <row r="45" spans="2:12" x14ac:dyDescent="0.25">
      <c r="B45" s="10"/>
      <c r="L45" s="11"/>
    </row>
    <row r="46" spans="2:12" x14ac:dyDescent="0.25">
      <c r="B46" s="10"/>
      <c r="L46" s="11"/>
    </row>
    <row r="47" spans="2:12" x14ac:dyDescent="0.25">
      <c r="B47" s="10"/>
      <c r="L47" s="11"/>
    </row>
    <row r="48" spans="2:12" x14ac:dyDescent="0.25">
      <c r="B48" s="10"/>
      <c r="L48" s="11"/>
    </row>
    <row r="49" spans="2:12" x14ac:dyDescent="0.25">
      <c r="B49" s="10"/>
      <c r="L49" s="11"/>
    </row>
    <row r="50" spans="2:12" x14ac:dyDescent="0.25">
      <c r="B50" s="10"/>
      <c r="L50" s="11"/>
    </row>
    <row r="51" spans="2:12" x14ac:dyDescent="0.25">
      <c r="B51" s="10"/>
      <c r="L51" s="11"/>
    </row>
    <row r="52" spans="2:12" x14ac:dyDescent="0.25">
      <c r="B52" s="10"/>
      <c r="L52" s="11"/>
    </row>
    <row r="53" spans="2:12" x14ac:dyDescent="0.25">
      <c r="B53" s="10"/>
      <c r="L53" s="11"/>
    </row>
    <row r="54" spans="2:12" x14ac:dyDescent="0.25">
      <c r="B54" s="10"/>
      <c r="L54" s="11"/>
    </row>
    <row r="55" spans="2:12" x14ac:dyDescent="0.25">
      <c r="B55" s="10"/>
      <c r="L55" s="11"/>
    </row>
    <row r="56" spans="2:12" x14ac:dyDescent="0.25">
      <c r="B56" s="10"/>
      <c r="L56" s="11"/>
    </row>
    <row r="57" spans="2:12" x14ac:dyDescent="0.25">
      <c r="B57" s="10"/>
      <c r="L57" s="11"/>
    </row>
    <row r="58" spans="2:12" x14ac:dyDescent="0.25">
      <c r="B58" s="10"/>
      <c r="L58" s="11"/>
    </row>
    <row r="59" spans="2:12" x14ac:dyDescent="0.25">
      <c r="B59" s="10"/>
      <c r="L59" s="11"/>
    </row>
    <row r="60" spans="2:12" x14ac:dyDescent="0.25">
      <c r="B60" s="10"/>
      <c r="L60" s="11"/>
    </row>
    <row r="61" spans="2:12" x14ac:dyDescent="0.25">
      <c r="B61" s="10"/>
      <c r="L61" s="11"/>
    </row>
    <row r="62" spans="2:12" x14ac:dyDescent="0.25">
      <c r="B62" s="10"/>
      <c r="L62" s="11"/>
    </row>
    <row r="63" spans="2:12" x14ac:dyDescent="0.25">
      <c r="B63" s="10"/>
      <c r="L63" s="11"/>
    </row>
    <row r="64" spans="2:12" x14ac:dyDescent="0.25">
      <c r="B64" s="10"/>
      <c r="L64" s="11"/>
    </row>
    <row r="65" spans="2:12" x14ac:dyDescent="0.25">
      <c r="B65" s="10"/>
      <c r="L65" s="11"/>
    </row>
    <row r="66" spans="2:12" x14ac:dyDescent="0.25">
      <c r="B66" s="10"/>
      <c r="L66" s="11"/>
    </row>
    <row r="67" spans="2:12" x14ac:dyDescent="0.25">
      <c r="B67" s="10"/>
      <c r="L67" s="11"/>
    </row>
    <row r="68" spans="2:12" x14ac:dyDescent="0.25">
      <c r="B68" s="10"/>
      <c r="L68" s="11"/>
    </row>
    <row r="69" spans="2:12" x14ac:dyDescent="0.25">
      <c r="B69" s="10"/>
      <c r="L69" s="11"/>
    </row>
    <row r="70" spans="2:12" x14ac:dyDescent="0.25">
      <c r="B70" s="10"/>
      <c r="L70" s="11"/>
    </row>
    <row r="71" spans="2:12" x14ac:dyDescent="0.25">
      <c r="B71" s="10"/>
      <c r="L71" s="11"/>
    </row>
    <row r="72" spans="2:12" x14ac:dyDescent="0.25">
      <c r="B72" s="10"/>
      <c r="L72" s="11"/>
    </row>
    <row r="73" spans="2:12" x14ac:dyDescent="0.25">
      <c r="B73" s="10"/>
      <c r="L73" s="11"/>
    </row>
    <row r="74" spans="2:12" x14ac:dyDescent="0.25">
      <c r="B74" s="10"/>
      <c r="L74" s="11"/>
    </row>
    <row r="75" spans="2:12" x14ac:dyDescent="0.25">
      <c r="B75" s="10"/>
      <c r="L75" s="11"/>
    </row>
    <row r="76" spans="2:12" x14ac:dyDescent="0.25">
      <c r="B76" s="10"/>
      <c r="L76" s="11"/>
    </row>
    <row r="77" spans="2:12" x14ac:dyDescent="0.25">
      <c r="B77" s="10"/>
      <c r="L77" s="11"/>
    </row>
    <row r="78" spans="2:12" x14ac:dyDescent="0.25">
      <c r="B78" s="10"/>
      <c r="L78" s="11"/>
    </row>
    <row r="79" spans="2:12" x14ac:dyDescent="0.25">
      <c r="B79" s="10"/>
      <c r="L79" s="11"/>
    </row>
    <row r="80" spans="2:12" x14ac:dyDescent="0.25">
      <c r="B80" s="10"/>
      <c r="L80" s="11"/>
    </row>
    <row r="81" spans="2:12" x14ac:dyDescent="0.25">
      <c r="B81" s="10"/>
      <c r="L81" s="11"/>
    </row>
    <row r="82" spans="2:12" x14ac:dyDescent="0.25">
      <c r="B82" s="10"/>
      <c r="L82" s="11"/>
    </row>
    <row r="83" spans="2:12" x14ac:dyDescent="0.25">
      <c r="B83" s="10"/>
      <c r="L83" s="11"/>
    </row>
    <row r="84" spans="2:12" x14ac:dyDescent="0.25">
      <c r="B84" s="10"/>
      <c r="L84" s="11"/>
    </row>
    <row r="85" spans="2:12" x14ac:dyDescent="0.25">
      <c r="B85" s="10"/>
      <c r="L85" s="11"/>
    </row>
    <row r="86" spans="2:12" x14ac:dyDescent="0.25">
      <c r="B86" s="10"/>
      <c r="L86" s="11"/>
    </row>
    <row r="87" spans="2:12" x14ac:dyDescent="0.25">
      <c r="B87" s="10"/>
      <c r="L87" s="11"/>
    </row>
    <row r="88" spans="2:12" x14ac:dyDescent="0.25">
      <c r="B88" s="10"/>
      <c r="L88" s="11"/>
    </row>
    <row r="89" spans="2:12" x14ac:dyDescent="0.25">
      <c r="B89" s="10"/>
      <c r="L89" s="11"/>
    </row>
    <row r="90" spans="2:12" x14ac:dyDescent="0.25">
      <c r="B90" s="10"/>
      <c r="L90" s="11"/>
    </row>
    <row r="91" spans="2:12" x14ac:dyDescent="0.25">
      <c r="B91" s="10"/>
      <c r="L91" s="11"/>
    </row>
    <row r="92" spans="2:12" x14ac:dyDescent="0.25">
      <c r="B92" s="10"/>
      <c r="L92" s="11"/>
    </row>
    <row r="93" spans="2:12" x14ac:dyDescent="0.25">
      <c r="B93" s="10"/>
      <c r="L93" s="11"/>
    </row>
    <row r="94" spans="2:12" x14ac:dyDescent="0.25">
      <c r="B94" s="10"/>
      <c r="L94" s="11"/>
    </row>
    <row r="95" spans="2:12" x14ac:dyDescent="0.25">
      <c r="B95" s="10"/>
      <c r="L95" s="11"/>
    </row>
    <row r="96" spans="2:12" x14ac:dyDescent="0.25">
      <c r="B96" s="10"/>
      <c r="L96" s="11"/>
    </row>
    <row r="97" spans="2:12" x14ac:dyDescent="0.25">
      <c r="B97" s="10"/>
      <c r="L97" s="11"/>
    </row>
    <row r="98" spans="2:12" x14ac:dyDescent="0.25">
      <c r="B98" s="10"/>
      <c r="L98" s="11"/>
    </row>
    <row r="99" spans="2:12" x14ac:dyDescent="0.25">
      <c r="B99" s="10"/>
      <c r="L99" s="11"/>
    </row>
    <row r="100" spans="2:12" x14ac:dyDescent="0.25">
      <c r="B100" s="10"/>
      <c r="L100" s="11"/>
    </row>
    <row r="101" spans="2:12" x14ac:dyDescent="0.25">
      <c r="B101" s="10"/>
      <c r="L101" s="11"/>
    </row>
    <row r="102" spans="2:12" x14ac:dyDescent="0.25">
      <c r="B102" s="10"/>
      <c r="L102" s="11"/>
    </row>
    <row r="103" spans="2:12" x14ac:dyDescent="0.25">
      <c r="B103" s="10"/>
      <c r="L103" s="11"/>
    </row>
    <row r="104" spans="2:12" x14ac:dyDescent="0.25">
      <c r="B104" s="10"/>
      <c r="L104" s="11"/>
    </row>
    <row r="105" spans="2:12" x14ac:dyDescent="0.25">
      <c r="B105" s="10"/>
      <c r="L105" s="11"/>
    </row>
    <row r="106" spans="2:12" x14ac:dyDescent="0.25">
      <c r="B106" s="12"/>
      <c r="C106" s="13"/>
      <c r="D106" s="13"/>
      <c r="E106" s="13"/>
      <c r="F106" s="13"/>
      <c r="G106" s="13"/>
      <c r="H106" s="13"/>
      <c r="I106" s="13"/>
      <c r="J106" s="13"/>
      <c r="K106" s="13"/>
      <c r="L106" s="14"/>
    </row>
  </sheetData>
  <mergeCells count="2">
    <mergeCell ref="C35:K40"/>
    <mergeCell ref="C7:K7"/>
  </mergeCells>
  <pageMargins left="0.511811024" right="0.511811024" top="0.78740157499999996" bottom="0.78740157499999996" header="0.31496062000000002" footer="0.31496062000000002"/>
  <pageSetup paperSize="9" scale="4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B1:N22"/>
  <sheetViews>
    <sheetView topLeftCell="B16" zoomScale="80" zoomScaleNormal="80" zoomScaleSheetLayoutView="80" workbookViewId="0">
      <selection activeCell="B1" sqref="B1:J4"/>
    </sheetView>
  </sheetViews>
  <sheetFormatPr defaultRowHeight="15" x14ac:dyDescent="0.25"/>
  <cols>
    <col min="2" max="2" width="11.85546875" customWidth="1"/>
    <col min="3" max="4" width="15" customWidth="1"/>
    <col min="5" max="5" width="55.140625" customWidth="1"/>
    <col min="6" max="6" width="9.5703125" bestFit="1" customWidth="1"/>
    <col min="7" max="9" width="8.5703125" customWidth="1"/>
    <col min="10" max="10" width="15.28515625" bestFit="1" customWidth="1"/>
    <col min="11" max="11" width="25" bestFit="1" customWidth="1"/>
    <col min="12" max="12" width="12.28515625" bestFit="1" customWidth="1"/>
    <col min="14" max="14" width="14.28515625" bestFit="1" customWidth="1"/>
  </cols>
  <sheetData>
    <row r="1" spans="2:12" ht="15.75" x14ac:dyDescent="0.25">
      <c r="B1" s="123" t="s">
        <v>545</v>
      </c>
      <c r="C1" s="124"/>
      <c r="D1" s="125"/>
      <c r="E1" s="125"/>
      <c r="F1" s="125"/>
      <c r="G1" s="125"/>
      <c r="H1" s="125"/>
      <c r="I1" s="125"/>
      <c r="J1" s="126"/>
    </row>
    <row r="2" spans="2:12" ht="15.75" x14ac:dyDescent="0.25">
      <c r="B2" s="123" t="s">
        <v>544</v>
      </c>
      <c r="C2" s="127"/>
      <c r="D2" s="127"/>
      <c r="E2" s="127"/>
      <c r="F2" s="128"/>
      <c r="G2" s="138"/>
      <c r="H2" s="129"/>
      <c r="I2" s="129"/>
      <c r="J2" s="130"/>
    </row>
    <row r="3" spans="2:12" ht="15.75" x14ac:dyDescent="0.25">
      <c r="B3" s="123" t="s">
        <v>548</v>
      </c>
      <c r="C3" s="124"/>
      <c r="D3" s="125"/>
      <c r="E3" s="125"/>
      <c r="F3" s="125"/>
      <c r="G3" s="125"/>
      <c r="H3" s="125"/>
      <c r="I3" s="125"/>
      <c r="J3" s="126"/>
    </row>
    <row r="4" spans="2:12" ht="15.75" x14ac:dyDescent="0.25">
      <c r="B4" s="193" t="s">
        <v>496</v>
      </c>
      <c r="C4" s="193"/>
      <c r="D4" s="194"/>
      <c r="E4" s="194"/>
      <c r="F4" s="194"/>
      <c r="G4" s="194"/>
      <c r="H4" s="194"/>
      <c r="I4" s="194"/>
      <c r="J4" s="195"/>
    </row>
    <row r="10" spans="2:12" ht="21" x14ac:dyDescent="0.35">
      <c r="B10" s="17" t="s">
        <v>32</v>
      </c>
      <c r="C10" s="17"/>
      <c r="D10" s="17"/>
      <c r="E10" s="17" t="s">
        <v>33</v>
      </c>
      <c r="F10" s="17"/>
      <c r="G10" s="17"/>
      <c r="H10" s="17"/>
      <c r="I10" s="17"/>
      <c r="J10" s="17"/>
      <c r="K10" s="17" t="s">
        <v>34</v>
      </c>
      <c r="L10" s="17" t="s">
        <v>35</v>
      </c>
    </row>
    <row r="11" spans="2:12" s="16" customFormat="1" ht="21" x14ac:dyDescent="0.35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</row>
    <row r="12" spans="2:12" ht="21" x14ac:dyDescent="0.35">
      <c r="B12" s="33" t="s">
        <v>36</v>
      </c>
      <c r="C12" s="33"/>
      <c r="D12" s="33"/>
      <c r="E12" s="33" t="str">
        <f>'PL-ORÇ (2)'!B7</f>
        <v>COLETA REGULAR DE LIXO</v>
      </c>
      <c r="F12" s="33"/>
      <c r="G12" s="33"/>
      <c r="H12" s="33"/>
      <c r="I12" s="33"/>
      <c r="J12" s="33"/>
      <c r="K12" s="34">
        <f>'PL-ORÇ (2)'!I7</f>
        <v>117655.24799999999</v>
      </c>
      <c r="L12" s="35">
        <f>K12/$K$20</f>
        <v>0.15423993080710738</v>
      </c>
    </row>
    <row r="13" spans="2:12" s="16" customFormat="1" x14ac:dyDescent="0.25">
      <c r="B13" s="18"/>
      <c r="C13" s="18"/>
      <c r="D13" s="18"/>
      <c r="E13" s="18"/>
      <c r="F13" s="18"/>
      <c r="G13" s="18"/>
      <c r="H13" s="18"/>
      <c r="I13" s="18"/>
      <c r="J13" s="18"/>
      <c r="K13" s="19"/>
      <c r="L13" s="20"/>
    </row>
    <row r="14" spans="2:12" ht="21" x14ac:dyDescent="0.35">
      <c r="B14" s="33" t="s">
        <v>37</v>
      </c>
      <c r="C14" s="33"/>
      <c r="D14" s="33"/>
      <c r="E14" s="33" t="str">
        <f>'PL-ORÇ (2)'!B10</f>
        <v>VARRIAÇÃO E CAPINA MANUAL DE VIAS E LOGRADOUROS PÚBLICOS</v>
      </c>
      <c r="F14" s="33"/>
      <c r="G14" s="33"/>
      <c r="H14" s="33"/>
      <c r="I14" s="33"/>
      <c r="J14" s="33"/>
      <c r="K14" s="34">
        <f>'PL-ORÇ (2)'!I10</f>
        <v>158559.28200000001</v>
      </c>
      <c r="L14" s="35">
        <f>K14/$K$20</f>
        <v>0.20786299889066256</v>
      </c>
    </row>
    <row r="15" spans="2:12" s="16" customFormat="1" x14ac:dyDescent="0.25">
      <c r="B15" s="18"/>
      <c r="C15" s="18"/>
      <c r="D15" s="18"/>
      <c r="E15" s="18"/>
      <c r="F15" s="18"/>
      <c r="G15" s="18"/>
      <c r="H15" s="18"/>
      <c r="I15" s="18"/>
      <c r="J15" s="18"/>
      <c r="K15" s="19"/>
      <c r="L15" s="20"/>
    </row>
    <row r="16" spans="2:12" ht="21" x14ac:dyDescent="0.35">
      <c r="B16" s="33" t="s">
        <v>38</v>
      </c>
      <c r="C16" s="33"/>
      <c r="D16" s="33"/>
      <c r="E16" s="33" t="str">
        <f>'PL-ORÇ (2)'!B13</f>
        <v>SERVIÇO DE TRANSPORTE PARA COLETA E ATERRO SANITÁRIO</v>
      </c>
      <c r="F16" s="33"/>
      <c r="G16" s="33"/>
      <c r="H16" s="33"/>
      <c r="I16" s="33"/>
      <c r="J16" s="33"/>
      <c r="K16" s="34">
        <f>'PL-ORÇ (2)'!I13</f>
        <v>363398.33999999997</v>
      </c>
      <c r="L16" s="35">
        <f>K16/$K$20</f>
        <v>0.47639638494508701</v>
      </c>
    </row>
    <row r="17" spans="2:14" s="16" customFormat="1" x14ac:dyDescent="0.25">
      <c r="B17" s="18"/>
      <c r="C17" s="18"/>
      <c r="D17" s="18"/>
      <c r="E17" s="18"/>
      <c r="F17" s="18"/>
      <c r="G17" s="18"/>
      <c r="H17" s="18"/>
      <c r="I17" s="18"/>
      <c r="J17" s="18"/>
      <c r="K17" s="19"/>
      <c r="L17" s="20"/>
    </row>
    <row r="18" spans="2:14" ht="21" x14ac:dyDescent="0.35">
      <c r="B18" s="33" t="s">
        <v>39</v>
      </c>
      <c r="C18" s="33"/>
      <c r="D18" s="33"/>
      <c r="E18" s="33" t="str">
        <f>'PL-ORÇ (2)'!B22</f>
        <v>FERRAMENTAS E  E.P.I.</v>
      </c>
      <c r="F18" s="33"/>
      <c r="G18" s="33"/>
      <c r="H18" s="33"/>
      <c r="I18" s="33"/>
      <c r="J18" s="33"/>
      <c r="K18" s="34">
        <f>'PL-ORÇ (2)'!I22</f>
        <v>123193.8</v>
      </c>
      <c r="L18" s="35">
        <f>K18/$K$20</f>
        <v>0.16150068535714299</v>
      </c>
    </row>
    <row r="19" spans="2:14" s="16" customFormat="1" x14ac:dyDescent="0.25">
      <c r="B19" s="18"/>
      <c r="C19" s="18"/>
      <c r="D19" s="18"/>
      <c r="E19" s="18"/>
      <c r="F19" s="18"/>
      <c r="G19" s="18"/>
      <c r="H19" s="18"/>
      <c r="I19" s="18"/>
      <c r="J19" s="18"/>
      <c r="K19" s="19"/>
      <c r="L19" s="20"/>
    </row>
    <row r="20" spans="2:14" ht="21" x14ac:dyDescent="0.35">
      <c r="B20" s="17"/>
      <c r="C20" s="17"/>
      <c r="D20" s="17"/>
      <c r="E20" s="17" t="s">
        <v>439</v>
      </c>
      <c r="F20" s="17"/>
      <c r="G20" s="17"/>
      <c r="H20" s="17"/>
      <c r="I20" s="17"/>
      <c r="J20" s="17"/>
      <c r="K20" s="36">
        <f>SUM(K12:K19)</f>
        <v>762806.67</v>
      </c>
      <c r="L20" s="37">
        <f>SUM(L12:L19)</f>
        <v>1</v>
      </c>
      <c r="N20" s="81"/>
    </row>
    <row r="22" spans="2:14" ht="21" x14ac:dyDescent="0.35">
      <c r="B22" s="17"/>
      <c r="C22" s="17"/>
      <c r="D22" s="17"/>
      <c r="E22" s="17" t="s">
        <v>440</v>
      </c>
      <c r="F22" s="17"/>
      <c r="G22" s="17"/>
      <c r="H22" s="17"/>
      <c r="I22" s="17"/>
      <c r="J22" s="17"/>
      <c r="K22" s="36">
        <f>K20*12</f>
        <v>9153680.040000001</v>
      </c>
      <c r="L22" s="37"/>
      <c r="N22" s="81"/>
    </row>
  </sheetData>
  <mergeCells count="1">
    <mergeCell ref="B4:J4"/>
  </mergeCells>
  <pageMargins left="0.51181102362204722" right="0.51181102362204722" top="0.78740157480314965" bottom="0.78740157480314965" header="0.31496062992125984" footer="0.31496062992125984"/>
  <pageSetup paperSize="9" scale="4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</sheetPr>
  <dimension ref="A1:K44"/>
  <sheetViews>
    <sheetView topLeftCell="A4" zoomScale="90" zoomScaleNormal="90" zoomScaleSheetLayoutView="80" workbookViewId="0">
      <selection activeCell="K9" sqref="K9"/>
    </sheetView>
  </sheetViews>
  <sheetFormatPr defaultRowHeight="15" x14ac:dyDescent="0.25"/>
  <cols>
    <col min="2" max="2" width="34.42578125" customWidth="1"/>
    <col min="3" max="3" width="13.28515625" bestFit="1" customWidth="1"/>
    <col min="4" max="4" width="15" customWidth="1"/>
    <col min="5" max="5" width="8" style="83" customWidth="1"/>
    <col min="6" max="6" width="11" style="79" customWidth="1"/>
    <col min="7" max="7" width="17" style="84" customWidth="1"/>
    <col min="8" max="8" width="17.7109375" style="84" customWidth="1"/>
    <col min="9" max="9" width="19.140625" bestFit="1" customWidth="1"/>
    <col min="11" max="11" width="15" style="21" bestFit="1" customWidth="1"/>
  </cols>
  <sheetData>
    <row r="1" spans="1:11" ht="15.75" x14ac:dyDescent="0.25">
      <c r="A1" s="123" t="s">
        <v>545</v>
      </c>
      <c r="B1" s="124"/>
      <c r="C1" s="125"/>
      <c r="D1" s="125"/>
      <c r="E1" s="125"/>
      <c r="F1" s="125"/>
      <c r="G1" s="125"/>
      <c r="H1" s="125"/>
      <c r="I1" s="126"/>
    </row>
    <row r="2" spans="1:11" ht="15.75" x14ac:dyDescent="0.25">
      <c r="A2" s="123" t="s">
        <v>544</v>
      </c>
      <c r="B2" s="127"/>
      <c r="C2" s="127"/>
      <c r="D2" s="127"/>
      <c r="E2" s="128"/>
      <c r="F2" s="138"/>
      <c r="G2" s="129"/>
      <c r="H2" s="129"/>
      <c r="I2" s="130"/>
    </row>
    <row r="3" spans="1:11" ht="15.75" x14ac:dyDescent="0.25">
      <c r="A3" s="123" t="s">
        <v>548</v>
      </c>
      <c r="B3" s="124"/>
      <c r="C3" s="125"/>
      <c r="D3" s="125"/>
      <c r="E3" s="125"/>
      <c r="F3" s="125"/>
      <c r="G3" s="125"/>
      <c r="H3" s="125"/>
      <c r="I3" s="126"/>
    </row>
    <row r="4" spans="1:11" ht="15.75" customHeight="1" x14ac:dyDescent="0.25">
      <c r="A4" s="193" t="s">
        <v>496</v>
      </c>
      <c r="B4" s="193"/>
      <c r="C4" s="194"/>
      <c r="D4" s="194"/>
      <c r="E4" s="194"/>
      <c r="F4" s="194"/>
      <c r="G4" s="194"/>
      <c r="H4" s="194"/>
      <c r="I4" s="195"/>
    </row>
    <row r="5" spans="1:11" x14ac:dyDescent="0.25">
      <c r="A5" s="131"/>
      <c r="B5" s="131"/>
      <c r="C5" s="131"/>
      <c r="D5" s="131"/>
      <c r="E5" s="132"/>
      <c r="F5" s="139"/>
      <c r="G5" s="133"/>
      <c r="H5" s="133"/>
      <c r="I5" s="131"/>
    </row>
    <row r="6" spans="1:11" ht="25.5" x14ac:dyDescent="0.25">
      <c r="A6" s="85" t="s">
        <v>107</v>
      </c>
      <c r="B6" s="85" t="s">
        <v>497</v>
      </c>
      <c r="C6" s="86" t="s">
        <v>498</v>
      </c>
      <c r="D6" s="86" t="s">
        <v>499</v>
      </c>
      <c r="E6" s="85" t="s">
        <v>500</v>
      </c>
      <c r="F6" s="87" t="s">
        <v>112</v>
      </c>
      <c r="G6" s="86" t="s">
        <v>501</v>
      </c>
      <c r="H6" s="86" t="s">
        <v>502</v>
      </c>
      <c r="I6" s="86" t="s">
        <v>503</v>
      </c>
    </row>
    <row r="7" spans="1:11" ht="24.95" customHeight="1" x14ac:dyDescent="0.25">
      <c r="A7" s="85" t="s">
        <v>95</v>
      </c>
      <c r="B7" s="199" t="s">
        <v>504</v>
      </c>
      <c r="C7" s="200"/>
      <c r="D7" s="200"/>
      <c r="E7" s="200"/>
      <c r="F7" s="200"/>
      <c r="G7" s="200"/>
      <c r="H7" s="201"/>
      <c r="I7" s="88">
        <f>SUM(I8:I9)</f>
        <v>117655.24799999999</v>
      </c>
    </row>
    <row r="8" spans="1:11" ht="24.95" customHeight="1" x14ac:dyDescent="0.25">
      <c r="A8" s="89" t="s">
        <v>2</v>
      </c>
      <c r="B8" s="137" t="s">
        <v>505</v>
      </c>
      <c r="C8" s="91">
        <v>90776</v>
      </c>
      <c r="D8" s="91" t="s">
        <v>3</v>
      </c>
      <c r="E8" s="92" t="s">
        <v>506</v>
      </c>
      <c r="F8" s="145">
        <f>192*2</f>
        <v>384</v>
      </c>
      <c r="G8" s="93">
        <v>31.98</v>
      </c>
      <c r="H8" s="94">
        <f>ROUND(G8*1.25,2)</f>
        <v>39.979999999999997</v>
      </c>
      <c r="I8" s="95">
        <f>H8*F8</f>
        <v>15352.32</v>
      </c>
    </row>
    <row r="9" spans="1:11" ht="24.95" customHeight="1" x14ac:dyDescent="0.25">
      <c r="A9" s="89" t="s">
        <v>4</v>
      </c>
      <c r="B9" s="137" t="s">
        <v>507</v>
      </c>
      <c r="C9" s="91">
        <v>88241</v>
      </c>
      <c r="D9" s="91" t="s">
        <v>3</v>
      </c>
      <c r="E9" s="92" t="s">
        <v>506</v>
      </c>
      <c r="F9" s="145">
        <f>54.86*80</f>
        <v>4388.8</v>
      </c>
      <c r="G9" s="93">
        <v>18.649999999999999</v>
      </c>
      <c r="H9" s="94">
        <f>ROUND(G9*1.25,2)</f>
        <v>23.31</v>
      </c>
      <c r="I9" s="95">
        <f>H9*F9</f>
        <v>102302.928</v>
      </c>
    </row>
    <row r="10" spans="1:11" ht="24.95" customHeight="1" x14ac:dyDescent="0.25">
      <c r="A10" s="85" t="s">
        <v>96</v>
      </c>
      <c r="B10" s="199" t="s">
        <v>508</v>
      </c>
      <c r="C10" s="197"/>
      <c r="D10" s="197"/>
      <c r="E10" s="197"/>
      <c r="F10" s="197"/>
      <c r="G10" s="197"/>
      <c r="H10" s="198"/>
      <c r="I10" s="96">
        <f>SUM(I11:I12)</f>
        <v>158559.28200000001</v>
      </c>
    </row>
    <row r="11" spans="1:11" ht="24.95" customHeight="1" x14ac:dyDescent="0.25">
      <c r="A11" s="89" t="s">
        <v>5</v>
      </c>
      <c r="B11" s="137" t="s">
        <v>509</v>
      </c>
      <c r="C11" s="91">
        <f>C9</f>
        <v>88241</v>
      </c>
      <c r="D11" s="91" t="s">
        <v>3</v>
      </c>
      <c r="E11" s="92" t="s">
        <v>506</v>
      </c>
      <c r="F11" s="145">
        <f>21.94*110</f>
        <v>2413.4</v>
      </c>
      <c r="G11" s="93">
        <f>G9</f>
        <v>18.649999999999999</v>
      </c>
      <c r="H11" s="94">
        <f>ROUND(G11*1.25,2)</f>
        <v>23.31</v>
      </c>
      <c r="I11" s="95">
        <f>H11*F11</f>
        <v>56256.353999999999</v>
      </c>
    </row>
    <row r="12" spans="1:11" ht="24.95" customHeight="1" x14ac:dyDescent="0.25">
      <c r="A12" s="89" t="s">
        <v>6</v>
      </c>
      <c r="B12" s="137" t="s">
        <v>510</v>
      </c>
      <c r="C12" s="91">
        <f>C9</f>
        <v>88241</v>
      </c>
      <c r="D12" s="91" t="s">
        <v>3</v>
      </c>
      <c r="E12" s="92" t="s">
        <v>506</v>
      </c>
      <c r="F12" s="145">
        <f>F9</f>
        <v>4388.8</v>
      </c>
      <c r="G12" s="93">
        <f>G9</f>
        <v>18.649999999999999</v>
      </c>
      <c r="H12" s="94">
        <f>ROUND(G12*1.25,2)</f>
        <v>23.31</v>
      </c>
      <c r="I12" s="95">
        <f>H12*F12</f>
        <v>102302.928</v>
      </c>
    </row>
    <row r="13" spans="1:11" ht="24.95" customHeight="1" x14ac:dyDescent="0.25">
      <c r="A13" s="85" t="s">
        <v>97</v>
      </c>
      <c r="B13" s="199" t="s">
        <v>511</v>
      </c>
      <c r="C13" s="197"/>
      <c r="D13" s="197"/>
      <c r="E13" s="197"/>
      <c r="F13" s="197"/>
      <c r="G13" s="197"/>
      <c r="H13" s="198"/>
      <c r="I13" s="96">
        <f>SUM(I14:I21)</f>
        <v>363398.33999999997</v>
      </c>
    </row>
    <row r="14" spans="1:11" ht="30.75" customHeight="1" x14ac:dyDescent="0.25">
      <c r="A14" s="89" t="s">
        <v>7</v>
      </c>
      <c r="B14" s="189" t="s">
        <v>379</v>
      </c>
      <c r="C14" s="7" t="s">
        <v>378</v>
      </c>
      <c r="D14" s="7" t="s">
        <v>3</v>
      </c>
      <c r="E14" s="92" t="s">
        <v>506</v>
      </c>
      <c r="F14" s="145">
        <v>1295</v>
      </c>
      <c r="G14" s="93">
        <v>22.09</v>
      </c>
      <c r="H14" s="94">
        <f t="shared" ref="H14:H21" si="0">ROUND(G14*1.25,2)</f>
        <v>27.61</v>
      </c>
      <c r="I14" s="95">
        <f t="shared" ref="I14" si="1">H14*F14</f>
        <v>35754.949999999997</v>
      </c>
      <c r="K14" s="187"/>
    </row>
    <row r="15" spans="1:11" ht="24.95" customHeight="1" x14ac:dyDescent="0.25">
      <c r="A15" s="89" t="s">
        <v>8</v>
      </c>
      <c r="B15" s="137" t="s">
        <v>547</v>
      </c>
      <c r="C15" s="91">
        <v>2789</v>
      </c>
      <c r="D15" s="91" t="s">
        <v>31</v>
      </c>
      <c r="E15" s="91" t="s">
        <v>512</v>
      </c>
      <c r="F15" s="145">
        <v>389</v>
      </c>
      <c r="G15" s="97">
        <f>10.83+2.71</f>
        <v>13.54</v>
      </c>
      <c r="H15" s="94">
        <f t="shared" si="0"/>
        <v>16.93</v>
      </c>
      <c r="I15" s="95">
        <f t="shared" ref="I15:I21" si="2">H15*F15</f>
        <v>6585.7699999999995</v>
      </c>
    </row>
    <row r="16" spans="1:11" ht="24.95" customHeight="1" x14ac:dyDescent="0.25">
      <c r="A16" s="89" t="s">
        <v>9</v>
      </c>
      <c r="B16" s="137" t="s">
        <v>513</v>
      </c>
      <c r="C16" s="91">
        <v>53792</v>
      </c>
      <c r="D16" s="91" t="s">
        <v>3</v>
      </c>
      <c r="E16" s="92" t="s">
        <v>506</v>
      </c>
      <c r="F16" s="145">
        <v>768</v>
      </c>
      <c r="G16" s="93">
        <v>100.06</v>
      </c>
      <c r="H16" s="94">
        <f t="shared" si="0"/>
        <v>125.08</v>
      </c>
      <c r="I16" s="95">
        <f t="shared" si="2"/>
        <v>96061.440000000002</v>
      </c>
    </row>
    <row r="17" spans="1:9" ht="24.95" customHeight="1" x14ac:dyDescent="0.25">
      <c r="A17" s="89" t="s">
        <v>164</v>
      </c>
      <c r="B17" s="189" t="s">
        <v>377</v>
      </c>
      <c r="C17" s="7" t="s">
        <v>375</v>
      </c>
      <c r="D17" s="7" t="s">
        <v>376</v>
      </c>
      <c r="E17" s="92" t="s">
        <v>506</v>
      </c>
      <c r="F17" s="145">
        <v>567</v>
      </c>
      <c r="G17" s="93">
        <v>162.65</v>
      </c>
      <c r="H17" s="94">
        <f t="shared" si="0"/>
        <v>203.31</v>
      </c>
      <c r="I17" s="95">
        <f t="shared" ref="I17" si="3">H17*F17</f>
        <v>115276.77</v>
      </c>
    </row>
    <row r="18" spans="1:9" ht="27.75" customHeight="1" x14ac:dyDescent="0.25">
      <c r="A18" s="89" t="s">
        <v>165</v>
      </c>
      <c r="B18" s="190" t="s">
        <v>546</v>
      </c>
      <c r="C18" s="7" t="s">
        <v>63</v>
      </c>
      <c r="D18" s="7" t="s">
        <v>3</v>
      </c>
      <c r="E18" s="92" t="s">
        <v>506</v>
      </c>
      <c r="F18" s="145">
        <v>389</v>
      </c>
      <c r="G18" s="93">
        <v>144.28</v>
      </c>
      <c r="H18" s="94">
        <f t="shared" si="0"/>
        <v>180.35</v>
      </c>
      <c r="I18" s="95">
        <f t="shared" ref="I18" si="4">H18*F18</f>
        <v>70156.149999999994</v>
      </c>
    </row>
    <row r="19" spans="1:9" ht="41.25" customHeight="1" x14ac:dyDescent="0.25">
      <c r="A19" s="89" t="s">
        <v>166</v>
      </c>
      <c r="B19" s="190" t="s">
        <v>381</v>
      </c>
      <c r="C19" s="7" t="s">
        <v>380</v>
      </c>
      <c r="D19" s="7" t="s">
        <v>3</v>
      </c>
      <c r="E19" s="92" t="s">
        <v>506</v>
      </c>
      <c r="F19" s="145">
        <v>38</v>
      </c>
      <c r="G19" s="93">
        <v>207.71</v>
      </c>
      <c r="H19" s="94">
        <f t="shared" si="0"/>
        <v>259.64</v>
      </c>
      <c r="I19" s="95">
        <f t="shared" ref="I19" si="5">H19*F19</f>
        <v>9866.32</v>
      </c>
    </row>
    <row r="20" spans="1:9" ht="24.95" customHeight="1" x14ac:dyDescent="0.25">
      <c r="A20" s="89" t="s">
        <v>167</v>
      </c>
      <c r="B20" s="189" t="s">
        <v>58</v>
      </c>
      <c r="C20" s="7" t="s">
        <v>57</v>
      </c>
      <c r="D20" s="7" t="s">
        <v>3</v>
      </c>
      <c r="E20" s="92" t="s">
        <v>514</v>
      </c>
      <c r="F20" s="145">
        <v>296</v>
      </c>
      <c r="G20" s="8">
        <v>6.39</v>
      </c>
      <c r="H20" s="94">
        <f t="shared" si="0"/>
        <v>7.99</v>
      </c>
      <c r="I20" s="95">
        <f t="shared" ref="I20" si="6">H20*F20</f>
        <v>2365.04</v>
      </c>
    </row>
    <row r="21" spans="1:9" ht="24.95" customHeight="1" x14ac:dyDescent="0.25">
      <c r="A21" s="89" t="s">
        <v>168</v>
      </c>
      <c r="B21" s="189" t="s">
        <v>55</v>
      </c>
      <c r="C21" s="91">
        <v>4221</v>
      </c>
      <c r="D21" s="91" t="s">
        <v>3</v>
      </c>
      <c r="E21" s="92" t="s">
        <v>514</v>
      </c>
      <c r="F21" s="145">
        <v>3293</v>
      </c>
      <c r="G21" s="8">
        <v>6.64</v>
      </c>
      <c r="H21" s="94">
        <f t="shared" si="0"/>
        <v>8.3000000000000007</v>
      </c>
      <c r="I21" s="95">
        <f t="shared" si="2"/>
        <v>27331.9</v>
      </c>
    </row>
    <row r="22" spans="1:9" ht="24.95" customHeight="1" x14ac:dyDescent="0.25">
      <c r="A22" s="85" t="s">
        <v>98</v>
      </c>
      <c r="B22" s="199" t="s">
        <v>515</v>
      </c>
      <c r="C22" s="197"/>
      <c r="D22" s="197"/>
      <c r="E22" s="197"/>
      <c r="F22" s="197"/>
      <c r="G22" s="197"/>
      <c r="H22" s="198"/>
      <c r="I22" s="96">
        <f>I23+I27+I33</f>
        <v>123193.8</v>
      </c>
    </row>
    <row r="23" spans="1:9" ht="24.95" customHeight="1" x14ac:dyDescent="0.25">
      <c r="A23" s="98" t="s">
        <v>10</v>
      </c>
      <c r="B23" s="99" t="s">
        <v>516</v>
      </c>
      <c r="C23" s="99"/>
      <c r="D23" s="99"/>
      <c r="E23" s="100"/>
      <c r="F23" s="143"/>
      <c r="G23" s="144"/>
      <c r="H23" s="101"/>
      <c r="I23" s="102">
        <f>SUM(I24:I26)</f>
        <v>26508.9</v>
      </c>
    </row>
    <row r="24" spans="1:9" ht="24.95" customHeight="1" x14ac:dyDescent="0.25">
      <c r="A24" s="101" t="s">
        <v>517</v>
      </c>
      <c r="B24" s="103" t="s">
        <v>518</v>
      </c>
      <c r="C24" s="104">
        <v>2711</v>
      </c>
      <c r="D24" s="101" t="s">
        <v>3</v>
      </c>
      <c r="E24" s="105" t="s">
        <v>519</v>
      </c>
      <c r="F24" s="145">
        <v>50</v>
      </c>
      <c r="G24" s="93">
        <v>248.9</v>
      </c>
      <c r="H24" s="94">
        <f>ROUND(G24*1.25,2)</f>
        <v>311.13</v>
      </c>
      <c r="I24" s="106">
        <f>H24*F24</f>
        <v>15556.5</v>
      </c>
    </row>
    <row r="25" spans="1:9" ht="24.95" customHeight="1" x14ac:dyDescent="0.25">
      <c r="A25" s="101" t="s">
        <v>520</v>
      </c>
      <c r="B25" s="107" t="s">
        <v>521</v>
      </c>
      <c r="C25" s="108">
        <v>10778</v>
      </c>
      <c r="D25" s="101" t="s">
        <v>3</v>
      </c>
      <c r="E25" s="105" t="s">
        <v>519</v>
      </c>
      <c r="F25" s="145">
        <v>120</v>
      </c>
      <c r="G25" s="93">
        <v>11.37</v>
      </c>
      <c r="H25" s="94">
        <f>ROUND(G25*1.25,2)</f>
        <v>14.21</v>
      </c>
      <c r="I25" s="106">
        <f t="shared" ref="I25:I26" si="7">H25*F25</f>
        <v>1705.2</v>
      </c>
    </row>
    <row r="26" spans="1:9" ht="24.95" customHeight="1" x14ac:dyDescent="0.25">
      <c r="A26" s="101" t="s">
        <v>522</v>
      </c>
      <c r="B26" s="107" t="s">
        <v>523</v>
      </c>
      <c r="C26" s="109">
        <v>38403</v>
      </c>
      <c r="D26" s="101" t="s">
        <v>3</v>
      </c>
      <c r="E26" s="105" t="s">
        <v>519</v>
      </c>
      <c r="F26" s="145">
        <v>120</v>
      </c>
      <c r="G26" s="93">
        <v>61.65</v>
      </c>
      <c r="H26" s="94">
        <f>ROUND(G26*1.25,2)</f>
        <v>77.06</v>
      </c>
      <c r="I26" s="106">
        <f t="shared" si="7"/>
        <v>9247.2000000000007</v>
      </c>
    </row>
    <row r="27" spans="1:9" ht="24.95" customHeight="1" x14ac:dyDescent="0.25">
      <c r="A27" s="98" t="s">
        <v>11</v>
      </c>
      <c r="B27" s="110" t="s">
        <v>524</v>
      </c>
      <c r="C27" s="110"/>
      <c r="D27" s="110"/>
      <c r="E27" s="105"/>
      <c r="F27" s="146"/>
      <c r="G27" s="142"/>
      <c r="H27" s="89"/>
      <c r="I27" s="111">
        <f>SUM(I28:I32)</f>
        <v>78970.7</v>
      </c>
    </row>
    <row r="28" spans="1:9" ht="24.95" customHeight="1" x14ac:dyDescent="0.25">
      <c r="A28" s="101" t="s">
        <v>525</v>
      </c>
      <c r="B28" s="107" t="s">
        <v>526</v>
      </c>
      <c r="C28" s="112">
        <v>12892</v>
      </c>
      <c r="D28" s="101" t="s">
        <v>3</v>
      </c>
      <c r="E28" s="105" t="s">
        <v>527</v>
      </c>
      <c r="F28" s="145">
        <v>1000</v>
      </c>
      <c r="G28" s="93">
        <v>12.77</v>
      </c>
      <c r="H28" s="94">
        <f>ROUND(G28*1.25,2)</f>
        <v>15.96</v>
      </c>
      <c r="I28" s="106">
        <f>H28*F28</f>
        <v>15960</v>
      </c>
    </row>
    <row r="29" spans="1:9" ht="24.95" customHeight="1" x14ac:dyDescent="0.25">
      <c r="A29" s="101" t="s">
        <v>528</v>
      </c>
      <c r="B29" s="107" t="s">
        <v>529</v>
      </c>
      <c r="C29" s="112">
        <v>12893</v>
      </c>
      <c r="D29" s="101" t="s">
        <v>3</v>
      </c>
      <c r="E29" s="105" t="s">
        <v>527</v>
      </c>
      <c r="F29" s="145">
        <v>310</v>
      </c>
      <c r="G29" s="93">
        <v>68.2</v>
      </c>
      <c r="H29" s="94">
        <f>ROUND(G29*1.25,2)</f>
        <v>85.25</v>
      </c>
      <c r="I29" s="106">
        <f t="shared" ref="I29:I32" si="8">H29*F29</f>
        <v>26427.5</v>
      </c>
    </row>
    <row r="30" spans="1:9" ht="24.95" customHeight="1" x14ac:dyDescent="0.25">
      <c r="A30" s="101" t="s">
        <v>530</v>
      </c>
      <c r="B30" s="107" t="s">
        <v>531</v>
      </c>
      <c r="C30" s="112">
        <v>1599</v>
      </c>
      <c r="D30" s="112" t="s">
        <v>31</v>
      </c>
      <c r="E30" s="105" t="s">
        <v>519</v>
      </c>
      <c r="F30" s="145">
        <v>120</v>
      </c>
      <c r="G30" s="93">
        <v>38.36</v>
      </c>
      <c r="H30" s="94">
        <f>ROUND(G30*1.25,2)</f>
        <v>47.95</v>
      </c>
      <c r="I30" s="106">
        <f t="shared" si="8"/>
        <v>5754</v>
      </c>
    </row>
    <row r="31" spans="1:9" ht="24.95" customHeight="1" x14ac:dyDescent="0.25">
      <c r="A31" s="101" t="s">
        <v>532</v>
      </c>
      <c r="B31" s="107" t="s">
        <v>533</v>
      </c>
      <c r="C31" s="112">
        <v>36152</v>
      </c>
      <c r="D31" s="101" t="s">
        <v>3</v>
      </c>
      <c r="E31" s="105" t="s">
        <v>519</v>
      </c>
      <c r="F31" s="145">
        <v>120</v>
      </c>
      <c r="G31" s="93">
        <v>5.53</v>
      </c>
      <c r="H31" s="94">
        <f>ROUND(G31*1.25,2)</f>
        <v>6.91</v>
      </c>
      <c r="I31" s="106">
        <f t="shared" si="8"/>
        <v>829.2</v>
      </c>
    </row>
    <row r="32" spans="1:9" ht="24.95" customHeight="1" x14ac:dyDescent="0.25">
      <c r="A32" s="101" t="s">
        <v>534</v>
      </c>
      <c r="B32" s="107" t="s">
        <v>535</v>
      </c>
      <c r="C32" s="112">
        <v>941</v>
      </c>
      <c r="D32" s="112" t="s">
        <v>31</v>
      </c>
      <c r="E32" s="105" t="s">
        <v>519</v>
      </c>
      <c r="F32" s="145">
        <v>200</v>
      </c>
      <c r="G32" s="93">
        <v>120</v>
      </c>
      <c r="H32" s="94">
        <f>ROUND(G32*1.25,2)</f>
        <v>150</v>
      </c>
      <c r="I32" s="106">
        <f t="shared" si="8"/>
        <v>30000</v>
      </c>
    </row>
    <row r="33" spans="1:11" ht="24.95" customHeight="1" x14ac:dyDescent="0.25">
      <c r="A33" s="98" t="s">
        <v>12</v>
      </c>
      <c r="B33" s="110" t="s">
        <v>536</v>
      </c>
      <c r="C33" s="112"/>
      <c r="D33" s="112"/>
      <c r="E33" s="105"/>
      <c r="F33" s="147"/>
      <c r="G33" s="113"/>
      <c r="H33" s="114"/>
      <c r="I33" s="111">
        <f>SUM(I34:I36)</f>
        <v>17714.2</v>
      </c>
    </row>
    <row r="34" spans="1:11" ht="24.95" customHeight="1" x14ac:dyDescent="0.25">
      <c r="A34" s="115" t="s">
        <v>537</v>
      </c>
      <c r="B34" s="107" t="s">
        <v>538</v>
      </c>
      <c r="C34" s="112">
        <v>7887</v>
      </c>
      <c r="D34" s="116" t="s">
        <v>3</v>
      </c>
      <c r="E34" s="90" t="s">
        <v>519</v>
      </c>
      <c r="F34" s="145">
        <v>5500</v>
      </c>
      <c r="G34" s="117">
        <v>0.6</v>
      </c>
      <c r="H34" s="94">
        <f>ROUND(G34*1.25,2)</f>
        <v>0.75</v>
      </c>
      <c r="I34" s="106">
        <f>H34*F34</f>
        <v>4125</v>
      </c>
    </row>
    <row r="35" spans="1:11" ht="24.95" customHeight="1" x14ac:dyDescent="0.25">
      <c r="A35" s="115" t="s">
        <v>537</v>
      </c>
      <c r="B35" s="118" t="s">
        <v>539</v>
      </c>
      <c r="C35" s="116">
        <v>38400</v>
      </c>
      <c r="D35" s="101" t="s">
        <v>3</v>
      </c>
      <c r="E35" s="105" t="s">
        <v>519</v>
      </c>
      <c r="F35" s="145">
        <v>120</v>
      </c>
      <c r="G35" s="119">
        <v>18.93</v>
      </c>
      <c r="H35" s="94">
        <f>ROUND(G35*1.25,2)</f>
        <v>23.66</v>
      </c>
      <c r="I35" s="106">
        <f>H35*F35</f>
        <v>2839.2</v>
      </c>
    </row>
    <row r="36" spans="1:11" ht="24.95" customHeight="1" x14ac:dyDescent="0.25">
      <c r="A36" s="115" t="s">
        <v>540</v>
      </c>
      <c r="B36" s="118" t="s">
        <v>541</v>
      </c>
      <c r="C36" s="116">
        <v>83693</v>
      </c>
      <c r="D36" s="101" t="s">
        <v>3</v>
      </c>
      <c r="E36" s="105" t="s">
        <v>173</v>
      </c>
      <c r="F36" s="145">
        <v>5000</v>
      </c>
      <c r="G36" s="119">
        <v>1.72</v>
      </c>
      <c r="H36" s="94">
        <f>ROUND(G36*1.25,2)</f>
        <v>2.15</v>
      </c>
      <c r="I36" s="106">
        <f>H36*F36</f>
        <v>10750</v>
      </c>
    </row>
    <row r="37" spans="1:11" ht="24.95" customHeight="1" x14ac:dyDescent="0.25">
      <c r="A37" s="196" t="s">
        <v>542</v>
      </c>
      <c r="B37" s="197"/>
      <c r="C37" s="197"/>
      <c r="D37" s="197"/>
      <c r="E37" s="197"/>
      <c r="F37" s="197"/>
      <c r="G37" s="197"/>
      <c r="H37" s="198"/>
      <c r="I37" s="120">
        <f>I22+I13+I10+I7</f>
        <v>762806.67</v>
      </c>
    </row>
    <row r="38" spans="1:11" ht="24.95" customHeight="1" x14ac:dyDescent="0.25">
      <c r="A38" s="196" t="s">
        <v>543</v>
      </c>
      <c r="B38" s="197"/>
      <c r="C38" s="197"/>
      <c r="D38" s="197"/>
      <c r="E38" s="197"/>
      <c r="F38" s="197"/>
      <c r="G38" s="197"/>
      <c r="H38" s="198"/>
      <c r="I38" s="120">
        <f>I37*12</f>
        <v>9153680.040000001</v>
      </c>
    </row>
    <row r="39" spans="1:11" x14ac:dyDescent="0.25">
      <c r="A39" s="121"/>
      <c r="B39" s="121"/>
      <c r="C39" s="121"/>
      <c r="D39" s="121"/>
      <c r="E39" s="121"/>
      <c r="F39" s="140"/>
      <c r="G39" s="121"/>
      <c r="H39" s="121"/>
      <c r="I39" s="121"/>
      <c r="K39" s="82">
        <v>565000</v>
      </c>
    </row>
    <row r="40" spans="1:11" x14ac:dyDescent="0.25">
      <c r="A40" s="84"/>
      <c r="B40" s="84"/>
      <c r="C40" s="84"/>
      <c r="D40" s="84"/>
      <c r="E40" s="84"/>
      <c r="F40" s="141"/>
      <c r="I40" s="188"/>
      <c r="K40" s="82">
        <f>I37-K39</f>
        <v>197806.67000000004</v>
      </c>
    </row>
    <row r="41" spans="1:11" x14ac:dyDescent="0.25">
      <c r="A41" s="84"/>
      <c r="B41" s="84"/>
      <c r="C41" s="84"/>
      <c r="D41" s="84"/>
      <c r="E41" s="84"/>
      <c r="F41" s="141"/>
      <c r="I41" s="84"/>
      <c r="K41" s="82">
        <f>K39*35%</f>
        <v>197750</v>
      </c>
    </row>
    <row r="42" spans="1:11" x14ac:dyDescent="0.25">
      <c r="I42" s="51"/>
    </row>
    <row r="44" spans="1:11" x14ac:dyDescent="0.25">
      <c r="B44" s="122"/>
      <c r="C44" s="122"/>
      <c r="D44" s="122"/>
      <c r="E44" s="122"/>
      <c r="F44" s="80"/>
    </row>
  </sheetData>
  <mergeCells count="7">
    <mergeCell ref="A37:H37"/>
    <mergeCell ref="A38:H38"/>
    <mergeCell ref="A4:I4"/>
    <mergeCell ref="B7:H7"/>
    <mergeCell ref="B10:H10"/>
    <mergeCell ref="B13:H13"/>
    <mergeCell ref="B22:H22"/>
  </mergeCells>
  <pageMargins left="0.22" right="0.2" top="0.78740157480314965" bottom="0.78740157480314965" header="0.31496062992125984" footer="0.31496062992125984"/>
  <pageSetup paperSize="9" scale="62" orientation="portrait" r:id="rId1"/>
  <ignoredErrors>
    <ignoredError sqref="I13 I10" formula="1"/>
    <ignoredError sqref="C14:C20" numberStoredAsText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</sheetPr>
  <dimension ref="A1:L120"/>
  <sheetViews>
    <sheetView zoomScale="80" zoomScaleNormal="80" zoomScaleSheetLayoutView="70" workbookViewId="0">
      <selection sqref="A1:A4"/>
    </sheetView>
  </sheetViews>
  <sheetFormatPr defaultRowHeight="15" x14ac:dyDescent="0.25"/>
  <cols>
    <col min="1" max="1" width="15.140625" style="9" customWidth="1"/>
    <col min="2" max="3" width="15" style="9" customWidth="1"/>
    <col min="4" max="4" width="68.85546875" style="9" customWidth="1"/>
    <col min="5" max="5" width="9.5703125" style="9" bestFit="1" customWidth="1"/>
    <col min="6" max="6" width="13.42578125" style="9" bestFit="1" customWidth="1"/>
    <col min="7" max="7" width="16.140625" style="9" bestFit="1" customWidth="1"/>
    <col min="8" max="8" width="18.7109375" style="9" customWidth="1"/>
    <col min="9" max="9" width="15.28515625" style="9" bestFit="1" customWidth="1"/>
    <col min="10" max="10" width="19.7109375" style="9" bestFit="1" customWidth="1"/>
    <col min="11" max="11" width="9.140625" style="9"/>
    <col min="12" max="12" width="15.28515625" style="52" bestFit="1" customWidth="1"/>
    <col min="13" max="16384" width="9.140625" style="9"/>
  </cols>
  <sheetData>
    <row r="1" spans="1:10" ht="15.75" x14ac:dyDescent="0.25">
      <c r="A1" s="123" t="s">
        <v>545</v>
      </c>
      <c r="B1" s="124"/>
      <c r="C1" s="125"/>
      <c r="D1" s="125"/>
      <c r="E1" s="125"/>
      <c r="F1" s="125"/>
      <c r="G1" s="125"/>
      <c r="H1" s="125"/>
      <c r="I1" s="126"/>
    </row>
    <row r="2" spans="1:10" ht="15.75" x14ac:dyDescent="0.25">
      <c r="A2" s="123" t="s">
        <v>544</v>
      </c>
      <c r="B2" s="127"/>
      <c r="C2" s="127"/>
      <c r="D2" s="127"/>
      <c r="E2" s="128"/>
      <c r="F2" s="138"/>
      <c r="G2" s="129"/>
      <c r="H2" s="129"/>
      <c r="I2" s="130"/>
    </row>
    <row r="3" spans="1:10" ht="15.75" x14ac:dyDescent="0.25">
      <c r="A3" s="123" t="s">
        <v>495</v>
      </c>
      <c r="B3" s="124"/>
      <c r="C3" s="125"/>
      <c r="D3" s="125"/>
      <c r="E3" s="125"/>
      <c r="F3" s="125"/>
      <c r="G3" s="125"/>
      <c r="H3" s="125"/>
      <c r="I3" s="126"/>
    </row>
    <row r="4" spans="1:10" ht="15.75" customHeight="1" x14ac:dyDescent="0.25">
      <c r="A4" s="191" t="s">
        <v>496</v>
      </c>
      <c r="B4" s="134"/>
      <c r="C4" s="135"/>
      <c r="D4" s="135"/>
      <c r="E4" s="135"/>
      <c r="F4" s="135"/>
      <c r="G4" s="135"/>
      <c r="H4" s="135"/>
      <c r="I4" s="136"/>
    </row>
    <row r="5" spans="1:10" ht="15.75" thickBot="1" x14ac:dyDescent="0.3"/>
    <row r="6" spans="1:10" ht="21.75" thickBot="1" x14ac:dyDescent="0.3">
      <c r="A6" s="215" t="s">
        <v>555</v>
      </c>
      <c r="B6" s="216"/>
      <c r="C6" s="216"/>
      <c r="D6" s="216"/>
      <c r="E6" s="216"/>
      <c r="F6" s="216"/>
      <c r="G6" s="216"/>
      <c r="H6" s="216"/>
      <c r="I6" s="216"/>
      <c r="J6" s="217"/>
    </row>
    <row r="8" spans="1:10" ht="15.75" thickBot="1" x14ac:dyDescent="0.3">
      <c r="A8" s="183" t="s">
        <v>36</v>
      </c>
      <c r="B8" s="183"/>
      <c r="C8" s="183"/>
      <c r="D8" s="183" t="s">
        <v>504</v>
      </c>
      <c r="E8" s="183"/>
      <c r="F8" s="218"/>
      <c r="G8" s="218"/>
      <c r="H8" s="184"/>
      <c r="I8" s="183"/>
      <c r="J8" s="185">
        <f>J19+J32</f>
        <v>117655.24799999999</v>
      </c>
    </row>
    <row r="9" spans="1:10" x14ac:dyDescent="0.25">
      <c r="A9" s="180" t="s">
        <v>374</v>
      </c>
      <c r="B9" s="181" t="s">
        <v>40</v>
      </c>
      <c r="C9" s="180" t="s">
        <v>41</v>
      </c>
      <c r="D9" s="180" t="s">
        <v>33</v>
      </c>
      <c r="E9" s="204" t="s">
        <v>42</v>
      </c>
      <c r="F9" s="204"/>
      <c r="G9" s="182" t="s">
        <v>43</v>
      </c>
      <c r="H9" s="181" t="s">
        <v>44</v>
      </c>
      <c r="I9" s="181" t="s">
        <v>45</v>
      </c>
      <c r="J9" s="181" t="s">
        <v>34</v>
      </c>
    </row>
    <row r="10" spans="1:10" ht="30" customHeight="1" x14ac:dyDescent="0.25">
      <c r="A10" s="154" t="s">
        <v>51</v>
      </c>
      <c r="B10" s="155">
        <v>90776</v>
      </c>
      <c r="C10" s="154" t="s">
        <v>3</v>
      </c>
      <c r="D10" s="154" t="s">
        <v>505</v>
      </c>
      <c r="E10" s="205" t="s">
        <v>62</v>
      </c>
      <c r="F10" s="205"/>
      <c r="G10" s="156" t="s">
        <v>506</v>
      </c>
      <c r="H10" s="157">
        <v>1</v>
      </c>
      <c r="I10" s="158">
        <f>'PL-ORÇ (2)'!G8</f>
        <v>31.98</v>
      </c>
      <c r="J10" s="158">
        <f>I10</f>
        <v>31.98</v>
      </c>
    </row>
    <row r="11" spans="1:10" ht="30" customHeight="1" x14ac:dyDescent="0.25">
      <c r="A11" s="159" t="s">
        <v>59</v>
      </c>
      <c r="B11" s="160" t="s">
        <v>383</v>
      </c>
      <c r="C11" s="159" t="s">
        <v>3</v>
      </c>
      <c r="D11" s="159" t="s">
        <v>551</v>
      </c>
      <c r="E11" s="206" t="s">
        <v>62</v>
      </c>
      <c r="F11" s="206"/>
      <c r="G11" s="161" t="s">
        <v>506</v>
      </c>
      <c r="H11" s="162">
        <v>1</v>
      </c>
      <c r="I11" s="163">
        <v>64.31</v>
      </c>
      <c r="J11" s="163">
        <v>64.31</v>
      </c>
    </row>
    <row r="12" spans="1:10" ht="30" customHeight="1" x14ac:dyDescent="0.25">
      <c r="A12" s="164" t="s">
        <v>46</v>
      </c>
      <c r="B12" s="165" t="s">
        <v>384</v>
      </c>
      <c r="C12" s="164" t="s">
        <v>3</v>
      </c>
      <c r="D12" s="164" t="s">
        <v>385</v>
      </c>
      <c r="E12" s="202" t="s">
        <v>47</v>
      </c>
      <c r="F12" s="202"/>
      <c r="G12" s="166" t="s">
        <v>506</v>
      </c>
      <c r="H12" s="167">
        <v>1</v>
      </c>
      <c r="I12" s="168">
        <v>31.98</v>
      </c>
      <c r="J12" s="168">
        <f>I12</f>
        <v>31.98</v>
      </c>
    </row>
    <row r="13" spans="1:10" ht="30" customHeight="1" x14ac:dyDescent="0.25">
      <c r="A13" s="164" t="s">
        <v>46</v>
      </c>
      <c r="B13" s="165" t="s">
        <v>388</v>
      </c>
      <c r="C13" s="164" t="s">
        <v>3</v>
      </c>
      <c r="D13" s="164" t="s">
        <v>442</v>
      </c>
      <c r="E13" s="202" t="s">
        <v>56</v>
      </c>
      <c r="F13" s="202"/>
      <c r="G13" s="166" t="s">
        <v>506</v>
      </c>
      <c r="H13" s="167">
        <v>1</v>
      </c>
      <c r="I13" s="168">
        <v>152.35</v>
      </c>
      <c r="J13" s="168">
        <v>152.35</v>
      </c>
    </row>
    <row r="14" spans="1:10" ht="30" customHeight="1" x14ac:dyDescent="0.25">
      <c r="A14" s="164" t="s">
        <v>46</v>
      </c>
      <c r="B14" s="165" t="s">
        <v>391</v>
      </c>
      <c r="C14" s="164" t="s">
        <v>3</v>
      </c>
      <c r="D14" s="164" t="s">
        <v>443</v>
      </c>
      <c r="E14" s="202" t="s">
        <v>56</v>
      </c>
      <c r="F14" s="202"/>
      <c r="G14" s="166" t="s">
        <v>506</v>
      </c>
      <c r="H14" s="167">
        <v>1</v>
      </c>
      <c r="I14" s="168">
        <v>0.01</v>
      </c>
      <c r="J14" s="168">
        <v>0.01</v>
      </c>
    </row>
    <row r="15" spans="1:10" ht="30" customHeight="1" x14ac:dyDescent="0.25">
      <c r="A15" s="164" t="s">
        <v>46</v>
      </c>
      <c r="B15" s="165" t="s">
        <v>389</v>
      </c>
      <c r="C15" s="164" t="s">
        <v>3</v>
      </c>
      <c r="D15" s="164" t="s">
        <v>390</v>
      </c>
      <c r="E15" s="202" t="s">
        <v>78</v>
      </c>
      <c r="F15" s="202"/>
      <c r="G15" s="166" t="s">
        <v>506</v>
      </c>
      <c r="H15" s="167">
        <v>1</v>
      </c>
      <c r="I15" s="168">
        <v>18.579999999999998</v>
      </c>
      <c r="J15" s="168">
        <v>18.579999999999998</v>
      </c>
    </row>
    <row r="16" spans="1:10" ht="30" customHeight="1" x14ac:dyDescent="0.25">
      <c r="A16" s="164" t="s">
        <v>46</v>
      </c>
      <c r="B16" s="165" t="s">
        <v>386</v>
      </c>
      <c r="C16" s="164" t="s">
        <v>3</v>
      </c>
      <c r="D16" s="164" t="s">
        <v>387</v>
      </c>
      <c r="E16" s="202" t="s">
        <v>78</v>
      </c>
      <c r="F16" s="202"/>
      <c r="G16" s="166" t="s">
        <v>506</v>
      </c>
      <c r="H16" s="167">
        <v>1</v>
      </c>
      <c r="I16" s="168">
        <v>202.94</v>
      </c>
      <c r="J16" s="168">
        <v>202.94</v>
      </c>
    </row>
    <row r="17" spans="1:10" x14ac:dyDescent="0.25">
      <c r="A17" s="169"/>
      <c r="B17" s="169"/>
      <c r="C17" s="169"/>
      <c r="D17" s="169"/>
      <c r="E17" s="169" t="s">
        <v>550</v>
      </c>
      <c r="F17" s="170">
        <f>J17*79.14%</f>
        <v>25.308972000000001</v>
      </c>
      <c r="G17" s="169"/>
      <c r="H17" s="170"/>
      <c r="I17" s="169" t="s">
        <v>47</v>
      </c>
      <c r="J17" s="170">
        <f>J10</f>
        <v>31.98</v>
      </c>
    </row>
    <row r="18" spans="1:10" x14ac:dyDescent="0.25">
      <c r="A18" s="169"/>
      <c r="B18" s="169"/>
      <c r="C18" s="169"/>
      <c r="D18" s="169"/>
      <c r="E18" s="214" t="s">
        <v>552</v>
      </c>
      <c r="F18" s="170">
        <f>'PL-ORÇ (2)'!H8-'PL-ORÇ (2)'!G8</f>
        <v>7.9999999999999964</v>
      </c>
      <c r="G18" s="169"/>
      <c r="H18" s="203" t="s">
        <v>48</v>
      </c>
      <c r="I18" s="203"/>
      <c r="J18" s="170">
        <f>'PL-ORÇ (2)'!H8</f>
        <v>39.979999999999997</v>
      </c>
    </row>
    <row r="19" spans="1:10" ht="15.75" thickBot="1" x14ac:dyDescent="0.3">
      <c r="A19" s="171"/>
      <c r="B19" s="171"/>
      <c r="C19" s="171"/>
      <c r="D19" s="171"/>
      <c r="E19" s="214"/>
      <c r="F19" s="171"/>
      <c r="G19" s="171" t="s">
        <v>49</v>
      </c>
      <c r="H19" s="172">
        <f>'PL-ORÇ (2)'!F8</f>
        <v>384</v>
      </c>
      <c r="I19" s="171" t="s">
        <v>50</v>
      </c>
      <c r="J19" s="173">
        <f>'PL-ORÇ (2)'!I8</f>
        <v>15352.32</v>
      </c>
    </row>
    <row r="20" spans="1:10" x14ac:dyDescent="0.25">
      <c r="A20" s="180" t="s">
        <v>4</v>
      </c>
      <c r="B20" s="181" t="s">
        <v>40</v>
      </c>
      <c r="C20" s="180" t="s">
        <v>41</v>
      </c>
      <c r="D20" s="180" t="s">
        <v>33</v>
      </c>
      <c r="E20" s="204" t="s">
        <v>42</v>
      </c>
      <c r="F20" s="204"/>
      <c r="G20" s="182" t="s">
        <v>43</v>
      </c>
      <c r="H20" s="181" t="s">
        <v>44</v>
      </c>
      <c r="I20" s="181" t="s">
        <v>45</v>
      </c>
      <c r="J20" s="181" t="s">
        <v>34</v>
      </c>
    </row>
    <row r="21" spans="1:10" x14ac:dyDescent="0.25">
      <c r="A21" s="154" t="s">
        <v>51</v>
      </c>
      <c r="B21" s="155">
        <v>88241</v>
      </c>
      <c r="C21" s="154" t="s">
        <v>3</v>
      </c>
      <c r="D21" s="154" t="s">
        <v>507</v>
      </c>
      <c r="E21" s="205" t="s">
        <v>62</v>
      </c>
      <c r="F21" s="205"/>
      <c r="G21" s="156" t="s">
        <v>506</v>
      </c>
      <c r="H21" s="157">
        <v>1</v>
      </c>
      <c r="I21" s="158">
        <f>'PL-ORÇ (2)'!G9</f>
        <v>18.649999999999999</v>
      </c>
      <c r="J21" s="158">
        <f>I21</f>
        <v>18.649999999999999</v>
      </c>
    </row>
    <row r="22" spans="1:10" ht="25.5" x14ac:dyDescent="0.25">
      <c r="A22" s="159" t="s">
        <v>59</v>
      </c>
      <c r="B22" s="160" t="s">
        <v>392</v>
      </c>
      <c r="C22" s="159" t="s">
        <v>3</v>
      </c>
      <c r="D22" s="159" t="s">
        <v>549</v>
      </c>
      <c r="E22" s="206" t="s">
        <v>62</v>
      </c>
      <c r="F22" s="206"/>
      <c r="G22" s="161" t="s">
        <v>506</v>
      </c>
      <c r="H22" s="162">
        <v>1</v>
      </c>
      <c r="I22" s="163">
        <v>17.13</v>
      </c>
      <c r="J22" s="163">
        <v>17.13</v>
      </c>
    </row>
    <row r="23" spans="1:10" ht="25.5" x14ac:dyDescent="0.25">
      <c r="A23" s="164" t="s">
        <v>46</v>
      </c>
      <c r="B23" s="165" t="s">
        <v>400</v>
      </c>
      <c r="C23" s="164" t="s">
        <v>3</v>
      </c>
      <c r="D23" s="164" t="s">
        <v>444</v>
      </c>
      <c r="E23" s="202" t="s">
        <v>56</v>
      </c>
      <c r="F23" s="202"/>
      <c r="G23" s="166" t="s">
        <v>506</v>
      </c>
      <c r="H23" s="167">
        <v>1</v>
      </c>
      <c r="I23" s="168">
        <v>108.29</v>
      </c>
      <c r="J23" s="168">
        <v>108.29</v>
      </c>
    </row>
    <row r="24" spans="1:10" ht="25.5" x14ac:dyDescent="0.25">
      <c r="A24" s="164" t="s">
        <v>46</v>
      </c>
      <c r="B24" s="165" t="s">
        <v>393</v>
      </c>
      <c r="C24" s="164" t="s">
        <v>3</v>
      </c>
      <c r="D24" s="164" t="s">
        <v>445</v>
      </c>
      <c r="E24" s="202" t="s">
        <v>56</v>
      </c>
      <c r="F24" s="202"/>
      <c r="G24" s="166" t="s">
        <v>506</v>
      </c>
      <c r="H24" s="167">
        <v>1</v>
      </c>
      <c r="I24" s="168">
        <v>0.01</v>
      </c>
      <c r="J24" s="168">
        <v>0.01</v>
      </c>
    </row>
    <row r="25" spans="1:10" ht="25.5" x14ac:dyDescent="0.25">
      <c r="A25" s="164" t="s">
        <v>46</v>
      </c>
      <c r="B25" s="165" t="s">
        <v>388</v>
      </c>
      <c r="C25" s="164" t="s">
        <v>3</v>
      </c>
      <c r="D25" s="164" t="s">
        <v>442</v>
      </c>
      <c r="E25" s="202" t="s">
        <v>56</v>
      </c>
      <c r="F25" s="202"/>
      <c r="G25" s="166" t="s">
        <v>506</v>
      </c>
      <c r="H25" s="167">
        <v>1</v>
      </c>
      <c r="I25" s="168">
        <v>152.35</v>
      </c>
      <c r="J25" s="168">
        <v>152.35</v>
      </c>
    </row>
    <row r="26" spans="1:10" ht="25.5" x14ac:dyDescent="0.25">
      <c r="A26" s="164" t="s">
        <v>46</v>
      </c>
      <c r="B26" s="165" t="s">
        <v>391</v>
      </c>
      <c r="C26" s="164" t="s">
        <v>3</v>
      </c>
      <c r="D26" s="164" t="s">
        <v>443</v>
      </c>
      <c r="E26" s="202" t="s">
        <v>56</v>
      </c>
      <c r="F26" s="202"/>
      <c r="G26" s="166" t="s">
        <v>506</v>
      </c>
      <c r="H26" s="167">
        <v>1</v>
      </c>
      <c r="I26" s="168">
        <v>0.01</v>
      </c>
      <c r="J26" s="168">
        <v>0.01</v>
      </c>
    </row>
    <row r="27" spans="1:10" x14ac:dyDescent="0.25">
      <c r="A27" s="164" t="s">
        <v>46</v>
      </c>
      <c r="B27" s="165" t="s">
        <v>394</v>
      </c>
      <c r="C27" s="164" t="s">
        <v>3</v>
      </c>
      <c r="D27" s="164" t="s">
        <v>395</v>
      </c>
      <c r="E27" s="202" t="s">
        <v>47</v>
      </c>
      <c r="F27" s="202"/>
      <c r="G27" s="166" t="s">
        <v>506</v>
      </c>
      <c r="H27" s="167">
        <v>1</v>
      </c>
      <c r="I27" s="168">
        <v>2413.4699999999998</v>
      </c>
      <c r="J27" s="168">
        <v>2413.4699999999998</v>
      </c>
    </row>
    <row r="28" spans="1:10" ht="25.5" x14ac:dyDescent="0.25">
      <c r="A28" s="164" t="s">
        <v>46</v>
      </c>
      <c r="B28" s="165" t="s">
        <v>398</v>
      </c>
      <c r="C28" s="164" t="s">
        <v>3</v>
      </c>
      <c r="D28" s="164" t="s">
        <v>399</v>
      </c>
      <c r="E28" s="202" t="s">
        <v>78</v>
      </c>
      <c r="F28" s="202"/>
      <c r="G28" s="166" t="s">
        <v>506</v>
      </c>
      <c r="H28" s="167">
        <v>1</v>
      </c>
      <c r="I28" s="168">
        <v>106.33</v>
      </c>
      <c r="J28" s="168">
        <v>106.33</v>
      </c>
    </row>
    <row r="29" spans="1:10" ht="25.5" x14ac:dyDescent="0.25">
      <c r="A29" s="164" t="s">
        <v>46</v>
      </c>
      <c r="B29" s="165" t="s">
        <v>396</v>
      </c>
      <c r="C29" s="164" t="s">
        <v>3</v>
      </c>
      <c r="D29" s="164" t="s">
        <v>397</v>
      </c>
      <c r="E29" s="202" t="s">
        <v>78</v>
      </c>
      <c r="F29" s="202"/>
      <c r="G29" s="166" t="s">
        <v>506</v>
      </c>
      <c r="H29" s="167">
        <v>1</v>
      </c>
      <c r="I29" s="168">
        <v>216.6</v>
      </c>
      <c r="J29" s="168">
        <v>216.6</v>
      </c>
    </row>
    <row r="30" spans="1:10" x14ac:dyDescent="0.25">
      <c r="A30" s="169"/>
      <c r="B30" s="169"/>
      <c r="C30" s="169"/>
      <c r="D30" s="169"/>
      <c r="E30" s="169" t="s">
        <v>550</v>
      </c>
      <c r="F30" s="170">
        <f>J30*79.14%</f>
        <v>14.759609999999999</v>
      </c>
      <c r="G30" s="169"/>
      <c r="H30" s="170"/>
      <c r="I30" s="169" t="s">
        <v>47</v>
      </c>
      <c r="J30" s="170">
        <f>J21</f>
        <v>18.649999999999999</v>
      </c>
    </row>
    <row r="31" spans="1:10" x14ac:dyDescent="0.25">
      <c r="A31" s="169"/>
      <c r="B31" s="169"/>
      <c r="C31" s="169"/>
      <c r="D31" s="169"/>
      <c r="E31" s="214" t="s">
        <v>552</v>
      </c>
      <c r="F31" s="170">
        <f>'PL-ORÇ (2)'!H9-'PL-ORÇ (2)'!G9</f>
        <v>4.66</v>
      </c>
      <c r="G31" s="169"/>
      <c r="H31" s="203" t="s">
        <v>48</v>
      </c>
      <c r="I31" s="203"/>
      <c r="J31" s="170">
        <f>'PL-ORÇ (2)'!H9</f>
        <v>23.31</v>
      </c>
    </row>
    <row r="32" spans="1:10" ht="15.75" thickBot="1" x14ac:dyDescent="0.3">
      <c r="A32" s="171"/>
      <c r="B32" s="171"/>
      <c r="C32" s="171"/>
      <c r="D32" s="171"/>
      <c r="E32" s="214"/>
      <c r="F32" s="171"/>
      <c r="G32" s="171" t="s">
        <v>49</v>
      </c>
      <c r="H32" s="172">
        <f>'PL-ORÇ (2)'!F9</f>
        <v>4388.8</v>
      </c>
      <c r="I32" s="171" t="s">
        <v>50</v>
      </c>
      <c r="J32" s="173">
        <f>'PL-ORÇ (2)'!I9</f>
        <v>102302.928</v>
      </c>
    </row>
    <row r="33" spans="1:10" ht="15.75" thickTop="1" x14ac:dyDescent="0.25">
      <c r="A33" s="174"/>
      <c r="B33" s="174"/>
      <c r="C33" s="174"/>
      <c r="D33" s="174"/>
      <c r="E33" s="174"/>
      <c r="F33" s="174"/>
      <c r="G33" s="174"/>
      <c r="H33" s="174"/>
      <c r="I33" s="174"/>
      <c r="J33" s="174"/>
    </row>
    <row r="34" spans="1:10" x14ac:dyDescent="0.25">
      <c r="A34" s="148" t="s">
        <v>37</v>
      </c>
      <c r="B34" s="148"/>
      <c r="C34" s="148"/>
      <c r="D34" s="148" t="s">
        <v>508</v>
      </c>
      <c r="E34" s="148"/>
      <c r="F34" s="210"/>
      <c r="G34" s="210"/>
      <c r="H34" s="149"/>
      <c r="I34" s="148"/>
      <c r="J34" s="150">
        <f>J40+J48</f>
        <v>158559.28200000001</v>
      </c>
    </row>
    <row r="35" spans="1:10" x14ac:dyDescent="0.25">
      <c r="A35" s="151" t="s">
        <v>5</v>
      </c>
      <c r="B35" s="152" t="s">
        <v>40</v>
      </c>
      <c r="C35" s="151" t="s">
        <v>41</v>
      </c>
      <c r="D35" s="151" t="s">
        <v>33</v>
      </c>
      <c r="E35" s="219" t="s">
        <v>42</v>
      </c>
      <c r="F35" s="219"/>
      <c r="G35" s="153" t="s">
        <v>43</v>
      </c>
      <c r="H35" s="152" t="s">
        <v>44</v>
      </c>
      <c r="I35" s="152" t="s">
        <v>45</v>
      </c>
      <c r="J35" s="152" t="s">
        <v>34</v>
      </c>
    </row>
    <row r="36" spans="1:10" x14ac:dyDescent="0.25">
      <c r="A36" s="154" t="s">
        <v>51</v>
      </c>
      <c r="B36" s="155">
        <v>88241</v>
      </c>
      <c r="C36" s="154" t="s">
        <v>3</v>
      </c>
      <c r="D36" s="154" t="s">
        <v>509</v>
      </c>
      <c r="E36" s="205" t="s">
        <v>425</v>
      </c>
      <c r="F36" s="205"/>
      <c r="G36" s="156" t="s">
        <v>506</v>
      </c>
      <c r="H36" s="157">
        <v>1</v>
      </c>
      <c r="I36" s="158">
        <f>'PL-ORÇ (2)'!G11</f>
        <v>18.649999999999999</v>
      </c>
      <c r="J36" s="158">
        <f>I36</f>
        <v>18.649999999999999</v>
      </c>
    </row>
    <row r="37" spans="1:10" ht="25.5" x14ac:dyDescent="0.25">
      <c r="A37" s="159" t="s">
        <v>59</v>
      </c>
      <c r="B37" s="160" t="s">
        <v>426</v>
      </c>
      <c r="C37" s="159" t="s">
        <v>3</v>
      </c>
      <c r="D37" s="159" t="s">
        <v>427</v>
      </c>
      <c r="E37" s="206" t="s">
        <v>62</v>
      </c>
      <c r="F37" s="206"/>
      <c r="G37" s="161" t="s">
        <v>506</v>
      </c>
      <c r="H37" s="162">
        <v>0.08</v>
      </c>
      <c r="I37" s="163">
        <v>16.27</v>
      </c>
      <c r="J37" s="163">
        <v>1.3</v>
      </c>
    </row>
    <row r="38" spans="1:10" x14ac:dyDescent="0.25">
      <c r="A38" s="169"/>
      <c r="B38" s="169"/>
      <c r="C38" s="169"/>
      <c r="D38" s="169"/>
      <c r="E38" s="169" t="s">
        <v>550</v>
      </c>
      <c r="F38" s="170">
        <f>J38*79.14%</f>
        <v>14.759609999999999</v>
      </c>
      <c r="G38" s="169"/>
      <c r="H38" s="170"/>
      <c r="I38" s="169" t="s">
        <v>47</v>
      </c>
      <c r="J38" s="170">
        <f>J36</f>
        <v>18.649999999999999</v>
      </c>
    </row>
    <row r="39" spans="1:10" x14ac:dyDescent="0.25">
      <c r="A39" s="169"/>
      <c r="B39" s="169"/>
      <c r="C39" s="169"/>
      <c r="D39" s="169"/>
      <c r="E39" s="213" t="s">
        <v>552</v>
      </c>
      <c r="F39" s="170">
        <f>'PL-ORÇ (2)'!H11-'PL-ORÇ (2)'!G11</f>
        <v>4.66</v>
      </c>
      <c r="G39" s="169"/>
      <c r="H39" s="203" t="s">
        <v>48</v>
      </c>
      <c r="I39" s="203"/>
      <c r="J39" s="170">
        <f>'PL-ORÇ (2)'!H11</f>
        <v>23.31</v>
      </c>
    </row>
    <row r="40" spans="1:10" ht="15.75" thickBot="1" x14ac:dyDescent="0.3">
      <c r="A40" s="171"/>
      <c r="B40" s="171"/>
      <c r="C40" s="171"/>
      <c r="D40" s="171"/>
      <c r="E40" s="214"/>
      <c r="F40" s="171"/>
      <c r="G40" s="171" t="s">
        <v>49</v>
      </c>
      <c r="H40" s="172">
        <f>'PL-ORÇ (2)'!F11</f>
        <v>2413.4</v>
      </c>
      <c r="I40" s="171" t="s">
        <v>50</v>
      </c>
      <c r="J40" s="173">
        <f>'PL-ORÇ (2)'!I11</f>
        <v>56256.353999999999</v>
      </c>
    </row>
    <row r="41" spans="1:10" x14ac:dyDescent="0.25">
      <c r="A41" s="180" t="s">
        <v>6</v>
      </c>
      <c r="B41" s="181" t="s">
        <v>40</v>
      </c>
      <c r="C41" s="180" t="s">
        <v>41</v>
      </c>
      <c r="D41" s="180" t="s">
        <v>33</v>
      </c>
      <c r="E41" s="204" t="s">
        <v>42</v>
      </c>
      <c r="F41" s="204"/>
      <c r="G41" s="182" t="s">
        <v>43</v>
      </c>
      <c r="H41" s="181" t="s">
        <v>44</v>
      </c>
      <c r="I41" s="181" t="s">
        <v>45</v>
      </c>
      <c r="J41" s="181" t="s">
        <v>34</v>
      </c>
    </row>
    <row r="42" spans="1:10" x14ac:dyDescent="0.25">
      <c r="A42" s="154" t="s">
        <v>51</v>
      </c>
      <c r="B42" s="155">
        <v>88241</v>
      </c>
      <c r="C42" s="154" t="s">
        <v>3</v>
      </c>
      <c r="D42" s="154" t="s">
        <v>510</v>
      </c>
      <c r="E42" s="205" t="s">
        <v>416</v>
      </c>
      <c r="F42" s="205"/>
      <c r="G42" s="156" t="s">
        <v>506</v>
      </c>
      <c r="H42" s="157">
        <v>1</v>
      </c>
      <c r="I42" s="158">
        <f>'PL-ORÇ (2)'!G12</f>
        <v>18.649999999999999</v>
      </c>
      <c r="J42" s="158">
        <f>I42</f>
        <v>18.649999999999999</v>
      </c>
    </row>
    <row r="43" spans="1:10" ht="25.5" x14ac:dyDescent="0.25">
      <c r="A43" s="159" t="s">
        <v>59</v>
      </c>
      <c r="B43" s="160" t="s">
        <v>420</v>
      </c>
      <c r="C43" s="159" t="s">
        <v>31</v>
      </c>
      <c r="D43" s="159" t="s">
        <v>421</v>
      </c>
      <c r="E43" s="206" t="s">
        <v>422</v>
      </c>
      <c r="F43" s="206"/>
      <c r="G43" s="161" t="s">
        <v>506</v>
      </c>
      <c r="H43" s="162">
        <v>2.7799999999999998E-2</v>
      </c>
      <c r="I43" s="163">
        <v>3.71</v>
      </c>
      <c r="J43" s="163">
        <v>0.1</v>
      </c>
    </row>
    <row r="44" spans="1:10" ht="25.5" x14ac:dyDescent="0.25">
      <c r="A44" s="159" t="s">
        <v>59</v>
      </c>
      <c r="B44" s="160" t="s">
        <v>417</v>
      </c>
      <c r="C44" s="159" t="s">
        <v>31</v>
      </c>
      <c r="D44" s="159" t="s">
        <v>418</v>
      </c>
      <c r="E44" s="206" t="s">
        <v>419</v>
      </c>
      <c r="F44" s="206"/>
      <c r="G44" s="161" t="s">
        <v>506</v>
      </c>
      <c r="H44" s="162">
        <v>6.2600000000000003E-2</v>
      </c>
      <c r="I44" s="163">
        <v>0.27</v>
      </c>
      <c r="J44" s="163">
        <v>0.01</v>
      </c>
    </row>
    <row r="45" spans="1:10" x14ac:dyDescent="0.25">
      <c r="A45" s="164" t="s">
        <v>46</v>
      </c>
      <c r="B45" s="165" t="s">
        <v>423</v>
      </c>
      <c r="C45" s="164" t="s">
        <v>3</v>
      </c>
      <c r="D45" s="164" t="s">
        <v>424</v>
      </c>
      <c r="E45" s="202" t="s">
        <v>47</v>
      </c>
      <c r="F45" s="202"/>
      <c r="G45" s="166" t="s">
        <v>506</v>
      </c>
      <c r="H45" s="167">
        <v>2.7799999999999998E-2</v>
      </c>
      <c r="I45" s="168">
        <v>12.94</v>
      </c>
      <c r="J45" s="168">
        <v>0.35</v>
      </c>
    </row>
    <row r="46" spans="1:10" x14ac:dyDescent="0.25">
      <c r="A46" s="169"/>
      <c r="B46" s="169"/>
      <c r="C46" s="169"/>
      <c r="D46" s="169"/>
      <c r="E46" s="169" t="s">
        <v>550</v>
      </c>
      <c r="F46" s="170">
        <f>J46*79.14%</f>
        <v>14.759609999999999</v>
      </c>
      <c r="G46" s="169"/>
      <c r="H46" s="170"/>
      <c r="I46" s="169" t="s">
        <v>47</v>
      </c>
      <c r="J46" s="170">
        <f>J42</f>
        <v>18.649999999999999</v>
      </c>
    </row>
    <row r="47" spans="1:10" x14ac:dyDescent="0.25">
      <c r="A47" s="169"/>
      <c r="B47" s="169"/>
      <c r="C47" s="169"/>
      <c r="D47" s="169"/>
      <c r="E47" s="214" t="s">
        <v>552</v>
      </c>
      <c r="F47" s="170">
        <f>'PL-ORÇ (2)'!H12-'PL-ORÇ (2)'!G12</f>
        <v>4.66</v>
      </c>
      <c r="G47" s="169"/>
      <c r="H47" s="203" t="s">
        <v>48</v>
      </c>
      <c r="I47" s="203"/>
      <c r="J47" s="170">
        <f>'PL-ORÇ (2)'!H12</f>
        <v>23.31</v>
      </c>
    </row>
    <row r="48" spans="1:10" ht="15.75" thickBot="1" x14ac:dyDescent="0.3">
      <c r="A48" s="171"/>
      <c r="B48" s="171"/>
      <c r="C48" s="171"/>
      <c r="D48" s="171"/>
      <c r="E48" s="214"/>
      <c r="F48" s="171"/>
      <c r="G48" s="171" t="s">
        <v>49</v>
      </c>
      <c r="H48" s="172">
        <f>'PL-ORÇ (2)'!F12</f>
        <v>4388.8</v>
      </c>
      <c r="I48" s="171" t="s">
        <v>50</v>
      </c>
      <c r="J48" s="173">
        <f>'PL-ORÇ (2)'!I12</f>
        <v>102302.928</v>
      </c>
    </row>
    <row r="49" spans="1:10" ht="15.75" thickTop="1" x14ac:dyDescent="0.25">
      <c r="A49" s="174"/>
      <c r="B49" s="174"/>
      <c r="C49" s="174"/>
      <c r="D49" s="174"/>
      <c r="E49" s="174"/>
      <c r="F49" s="174"/>
      <c r="G49" s="174"/>
      <c r="H49" s="174"/>
      <c r="I49" s="174"/>
      <c r="J49" s="174"/>
    </row>
    <row r="50" spans="1:10" ht="15.75" thickBot="1" x14ac:dyDescent="0.3">
      <c r="A50" s="148">
        <v>3</v>
      </c>
      <c r="B50" s="148"/>
      <c r="C50" s="148"/>
      <c r="D50" s="148" t="s">
        <v>511</v>
      </c>
      <c r="E50" s="148"/>
      <c r="F50" s="210"/>
      <c r="G50" s="210"/>
      <c r="H50" s="149"/>
      <c r="I50" s="148"/>
      <c r="J50" s="150">
        <f>J63+J68+J74+J79+J89+J99+J104+J109</f>
        <v>363398.33999999997</v>
      </c>
    </row>
    <row r="51" spans="1:10" x14ac:dyDescent="0.25">
      <c r="A51" s="180" t="s">
        <v>7</v>
      </c>
      <c r="B51" s="181" t="s">
        <v>40</v>
      </c>
      <c r="C51" s="180" t="s">
        <v>41</v>
      </c>
      <c r="D51" s="180" t="s">
        <v>33</v>
      </c>
      <c r="E51" s="204" t="s">
        <v>42</v>
      </c>
      <c r="F51" s="204"/>
      <c r="G51" s="182" t="s">
        <v>43</v>
      </c>
      <c r="H51" s="181" t="s">
        <v>44</v>
      </c>
      <c r="I51" s="181" t="s">
        <v>45</v>
      </c>
      <c r="J51" s="181" t="s">
        <v>34</v>
      </c>
    </row>
    <row r="52" spans="1:10" x14ac:dyDescent="0.25">
      <c r="A52" s="154" t="s">
        <v>51</v>
      </c>
      <c r="B52" s="155" t="s">
        <v>378</v>
      </c>
      <c r="C52" s="154" t="s">
        <v>3</v>
      </c>
      <c r="D52" s="154" t="s">
        <v>379</v>
      </c>
      <c r="E52" s="205" t="s">
        <v>62</v>
      </c>
      <c r="F52" s="205"/>
      <c r="G52" s="156" t="s">
        <v>506</v>
      </c>
      <c r="H52" s="157">
        <v>1</v>
      </c>
      <c r="I52" s="158">
        <f>'PL-ORÇ (2)'!G14</f>
        <v>22.09</v>
      </c>
      <c r="J52" s="158">
        <f>I52</f>
        <v>22.09</v>
      </c>
    </row>
    <row r="53" spans="1:10" ht="25.5" x14ac:dyDescent="0.25">
      <c r="A53" s="159" t="s">
        <v>59</v>
      </c>
      <c r="B53" s="160" t="s">
        <v>401</v>
      </c>
      <c r="C53" s="159" t="s">
        <v>3</v>
      </c>
      <c r="D53" s="159" t="s">
        <v>402</v>
      </c>
      <c r="E53" s="206" t="s">
        <v>62</v>
      </c>
      <c r="F53" s="206"/>
      <c r="G53" s="161" t="s">
        <v>506</v>
      </c>
      <c r="H53" s="162">
        <v>1</v>
      </c>
      <c r="I53" s="163">
        <v>0.08</v>
      </c>
      <c r="J53" s="163">
        <v>0.08</v>
      </c>
    </row>
    <row r="54" spans="1:10" x14ac:dyDescent="0.25">
      <c r="A54" s="164" t="s">
        <v>46</v>
      </c>
      <c r="B54" s="165" t="s">
        <v>410</v>
      </c>
      <c r="C54" s="164" t="s">
        <v>3</v>
      </c>
      <c r="D54" s="164" t="s">
        <v>411</v>
      </c>
      <c r="E54" s="202" t="s">
        <v>47</v>
      </c>
      <c r="F54" s="202"/>
      <c r="G54" s="166" t="s">
        <v>506</v>
      </c>
      <c r="H54" s="167">
        <v>1</v>
      </c>
      <c r="I54" s="168">
        <v>19.84</v>
      </c>
      <c r="J54" s="168">
        <v>19.84</v>
      </c>
    </row>
    <row r="55" spans="1:10" ht="25.5" x14ac:dyDescent="0.25">
      <c r="A55" s="164" t="s">
        <v>46</v>
      </c>
      <c r="B55" s="165" t="s">
        <v>403</v>
      </c>
      <c r="C55" s="164" t="s">
        <v>3</v>
      </c>
      <c r="D55" s="164" t="s">
        <v>446</v>
      </c>
      <c r="E55" s="202" t="s">
        <v>404</v>
      </c>
      <c r="F55" s="202"/>
      <c r="G55" s="166" t="s">
        <v>506</v>
      </c>
      <c r="H55" s="167">
        <v>1</v>
      </c>
      <c r="I55" s="168">
        <v>0.01</v>
      </c>
      <c r="J55" s="168">
        <v>0.01</v>
      </c>
    </row>
    <row r="56" spans="1:10" ht="25.5" x14ac:dyDescent="0.25">
      <c r="A56" s="164" t="s">
        <v>46</v>
      </c>
      <c r="B56" s="165" t="s">
        <v>414</v>
      </c>
      <c r="C56" s="164" t="s">
        <v>3</v>
      </c>
      <c r="D56" s="164" t="s">
        <v>447</v>
      </c>
      <c r="E56" s="202" t="s">
        <v>415</v>
      </c>
      <c r="F56" s="202"/>
      <c r="G56" s="166" t="s">
        <v>506</v>
      </c>
      <c r="H56" s="167">
        <v>1</v>
      </c>
      <c r="I56" s="168">
        <v>0.56999999999999995</v>
      </c>
      <c r="J56" s="168">
        <v>0.56999999999999995</v>
      </c>
    </row>
    <row r="57" spans="1:10" ht="25.5" x14ac:dyDescent="0.25">
      <c r="A57" s="164" t="s">
        <v>46</v>
      </c>
      <c r="B57" s="165" t="s">
        <v>407</v>
      </c>
      <c r="C57" s="164" t="s">
        <v>3</v>
      </c>
      <c r="D57" s="164" t="s">
        <v>448</v>
      </c>
      <c r="E57" s="202" t="s">
        <v>404</v>
      </c>
      <c r="F57" s="202"/>
      <c r="G57" s="166" t="s">
        <v>506</v>
      </c>
      <c r="H57" s="167">
        <v>1</v>
      </c>
      <c r="I57" s="168">
        <v>0.81</v>
      </c>
      <c r="J57" s="168">
        <v>0.81</v>
      </c>
    </row>
    <row r="58" spans="1:10" ht="25.5" x14ac:dyDescent="0.25">
      <c r="A58" s="164" t="s">
        <v>46</v>
      </c>
      <c r="B58" s="165" t="s">
        <v>412</v>
      </c>
      <c r="C58" s="164" t="s">
        <v>3</v>
      </c>
      <c r="D58" s="164" t="s">
        <v>449</v>
      </c>
      <c r="E58" s="202" t="s">
        <v>413</v>
      </c>
      <c r="F58" s="202"/>
      <c r="G58" s="166" t="s">
        <v>506</v>
      </c>
      <c r="H58" s="167">
        <v>1</v>
      </c>
      <c r="I58" s="168">
        <v>0.01</v>
      </c>
      <c r="J58" s="168">
        <v>0.01</v>
      </c>
    </row>
    <row r="59" spans="1:10" ht="25.5" x14ac:dyDescent="0.25">
      <c r="A59" s="164" t="s">
        <v>46</v>
      </c>
      <c r="B59" s="165" t="s">
        <v>408</v>
      </c>
      <c r="C59" s="164" t="s">
        <v>3</v>
      </c>
      <c r="D59" s="164" t="s">
        <v>409</v>
      </c>
      <c r="E59" s="202" t="s">
        <v>78</v>
      </c>
      <c r="F59" s="202"/>
      <c r="G59" s="166" t="s">
        <v>506</v>
      </c>
      <c r="H59" s="167">
        <v>1</v>
      </c>
      <c r="I59" s="168">
        <v>0.01</v>
      </c>
      <c r="J59" s="168">
        <v>0.01</v>
      </c>
    </row>
    <row r="60" spans="1:10" ht="25.5" x14ac:dyDescent="0.25">
      <c r="A60" s="164" t="s">
        <v>46</v>
      </c>
      <c r="B60" s="165" t="s">
        <v>405</v>
      </c>
      <c r="C60" s="164" t="s">
        <v>3</v>
      </c>
      <c r="D60" s="164" t="s">
        <v>406</v>
      </c>
      <c r="E60" s="202" t="s">
        <v>78</v>
      </c>
      <c r="F60" s="202"/>
      <c r="G60" s="166" t="s">
        <v>506</v>
      </c>
      <c r="H60" s="167">
        <v>1</v>
      </c>
      <c r="I60" s="168">
        <v>0.76</v>
      </c>
      <c r="J60" s="168">
        <v>0.76</v>
      </c>
    </row>
    <row r="61" spans="1:10" x14ac:dyDescent="0.25">
      <c r="A61" s="169"/>
      <c r="B61" s="169"/>
      <c r="C61" s="169"/>
      <c r="D61" s="169"/>
      <c r="E61" s="169" t="s">
        <v>550</v>
      </c>
      <c r="F61" s="170">
        <f>J61*79.14%</f>
        <v>17.482026000000001</v>
      </c>
      <c r="G61" s="169"/>
      <c r="H61" s="170"/>
      <c r="I61" s="169" t="s">
        <v>47</v>
      </c>
      <c r="J61" s="170">
        <f>J52</f>
        <v>22.09</v>
      </c>
    </row>
    <row r="62" spans="1:10" x14ac:dyDescent="0.25">
      <c r="A62" s="169"/>
      <c r="B62" s="169"/>
      <c r="C62" s="169"/>
      <c r="D62" s="169"/>
      <c r="E62" s="213" t="s">
        <v>552</v>
      </c>
      <c r="F62" s="170">
        <f>'PL-ORÇ (2)'!H14-'PL-ORÇ (2)'!G14</f>
        <v>5.52</v>
      </c>
      <c r="G62" s="169"/>
      <c r="H62" s="203" t="s">
        <v>48</v>
      </c>
      <c r="I62" s="203"/>
      <c r="J62" s="170">
        <f>J61+F62</f>
        <v>27.61</v>
      </c>
    </row>
    <row r="63" spans="1:10" ht="15.75" thickBot="1" x14ac:dyDescent="0.3">
      <c r="A63" s="171"/>
      <c r="B63" s="171"/>
      <c r="C63" s="171"/>
      <c r="D63" s="171"/>
      <c r="E63" s="214"/>
      <c r="F63" s="171"/>
      <c r="G63" s="171" t="s">
        <v>49</v>
      </c>
      <c r="H63" s="172">
        <f>'PL-ORÇ (2)'!F14</f>
        <v>1295</v>
      </c>
      <c r="I63" s="171" t="s">
        <v>50</v>
      </c>
      <c r="J63" s="173">
        <f>'PL-ORÇ (2)'!I14</f>
        <v>35754.949999999997</v>
      </c>
    </row>
    <row r="64" spans="1:10" x14ac:dyDescent="0.25">
      <c r="A64" s="180" t="s">
        <v>8</v>
      </c>
      <c r="B64" s="181" t="s">
        <v>40</v>
      </c>
      <c r="C64" s="180" t="s">
        <v>41</v>
      </c>
      <c r="D64" s="180" t="s">
        <v>33</v>
      </c>
      <c r="E64" s="221" t="s">
        <v>42</v>
      </c>
      <c r="F64" s="222"/>
      <c r="G64" s="182" t="s">
        <v>43</v>
      </c>
      <c r="H64" s="181" t="s">
        <v>44</v>
      </c>
      <c r="I64" s="181" t="s">
        <v>45</v>
      </c>
      <c r="J64" s="181" t="s">
        <v>34</v>
      </c>
    </row>
    <row r="65" spans="1:10" x14ac:dyDescent="0.25">
      <c r="A65" s="175" t="s">
        <v>46</v>
      </c>
      <c r="B65" s="176">
        <v>2789</v>
      </c>
      <c r="C65" s="175" t="s">
        <v>31</v>
      </c>
      <c r="D65" s="175" t="s">
        <v>547</v>
      </c>
      <c r="E65" s="208" t="s">
        <v>56</v>
      </c>
      <c r="F65" s="209"/>
      <c r="G65" s="177" t="s">
        <v>512</v>
      </c>
      <c r="H65" s="178">
        <v>1</v>
      </c>
      <c r="I65" s="179">
        <f>'PL-ORÇ (2)'!G15</f>
        <v>13.54</v>
      </c>
      <c r="J65" s="179">
        <f>'PL-ORÇ (2)'!G15</f>
        <v>13.54</v>
      </c>
    </row>
    <row r="66" spans="1:10" x14ac:dyDescent="0.25">
      <c r="A66" s="169"/>
      <c r="B66" s="169"/>
      <c r="C66" s="169"/>
      <c r="D66" s="169"/>
      <c r="E66" s="169" t="s">
        <v>550</v>
      </c>
      <c r="F66" s="170">
        <v>0</v>
      </c>
      <c r="G66" s="169"/>
      <c r="H66" s="170"/>
      <c r="I66" s="169" t="s">
        <v>47</v>
      </c>
      <c r="J66" s="170">
        <v>0</v>
      </c>
    </row>
    <row r="67" spans="1:10" x14ac:dyDescent="0.25">
      <c r="A67" s="169"/>
      <c r="B67" s="169"/>
      <c r="C67" s="169"/>
      <c r="D67" s="169"/>
      <c r="E67" s="213" t="s">
        <v>552</v>
      </c>
      <c r="F67" s="170">
        <f>'PL-ORÇ (2)'!H15-'PL-ORÇ (2)'!G15</f>
        <v>3.3900000000000006</v>
      </c>
      <c r="G67" s="169"/>
      <c r="H67" s="203" t="s">
        <v>48</v>
      </c>
      <c r="I67" s="203"/>
      <c r="J67" s="170">
        <f>'PL-ORÇ (2)'!H15</f>
        <v>16.93</v>
      </c>
    </row>
    <row r="68" spans="1:10" ht="15.75" thickBot="1" x14ac:dyDescent="0.3">
      <c r="A68" s="171"/>
      <c r="B68" s="171"/>
      <c r="C68" s="171"/>
      <c r="D68" s="171"/>
      <c r="E68" s="214"/>
      <c r="F68" s="171"/>
      <c r="G68" s="171" t="s">
        <v>49</v>
      </c>
      <c r="H68" s="172">
        <f>'PL-ORÇ (2)'!F15</f>
        <v>389</v>
      </c>
      <c r="I68" s="171" t="s">
        <v>50</v>
      </c>
      <c r="J68" s="173">
        <f>'PL-ORÇ (2)'!I15</f>
        <v>6585.7699999999995</v>
      </c>
    </row>
    <row r="69" spans="1:10" x14ac:dyDescent="0.25">
      <c r="A69" s="180" t="s">
        <v>554</v>
      </c>
      <c r="B69" s="181" t="s">
        <v>40</v>
      </c>
      <c r="C69" s="180" t="s">
        <v>41</v>
      </c>
      <c r="D69" s="180" t="s">
        <v>33</v>
      </c>
      <c r="E69" s="204" t="s">
        <v>42</v>
      </c>
      <c r="F69" s="204"/>
      <c r="G69" s="182" t="s">
        <v>43</v>
      </c>
      <c r="H69" s="181" t="s">
        <v>44</v>
      </c>
      <c r="I69" s="181" t="s">
        <v>45</v>
      </c>
      <c r="J69" s="181" t="s">
        <v>34</v>
      </c>
    </row>
    <row r="70" spans="1:10" ht="51" x14ac:dyDescent="0.25">
      <c r="A70" s="154" t="s">
        <v>51</v>
      </c>
      <c r="B70" s="155">
        <v>53792</v>
      </c>
      <c r="C70" s="154" t="s">
        <v>3</v>
      </c>
      <c r="D70" s="154" t="s">
        <v>52</v>
      </c>
      <c r="E70" s="205" t="s">
        <v>53</v>
      </c>
      <c r="F70" s="205"/>
      <c r="G70" s="156" t="s">
        <v>506</v>
      </c>
      <c r="H70" s="157">
        <v>1</v>
      </c>
      <c r="I70" s="158">
        <f>'PL-ORÇ (2)'!G16</f>
        <v>100.06</v>
      </c>
      <c r="J70" s="158">
        <f>I70</f>
        <v>100.06</v>
      </c>
    </row>
    <row r="71" spans="1:10" x14ac:dyDescent="0.25">
      <c r="A71" s="164" t="s">
        <v>46</v>
      </c>
      <c r="B71" s="165" t="s">
        <v>54</v>
      </c>
      <c r="C71" s="164" t="s">
        <v>3</v>
      </c>
      <c r="D71" s="164" t="s">
        <v>55</v>
      </c>
      <c r="E71" s="202" t="s">
        <v>56</v>
      </c>
      <c r="F71" s="202"/>
      <c r="G71" s="166" t="s">
        <v>514</v>
      </c>
      <c r="H71" s="167">
        <v>13.62</v>
      </c>
      <c r="I71" s="168">
        <v>6.64</v>
      </c>
      <c r="J71" s="168">
        <v>6.64</v>
      </c>
    </row>
    <row r="72" spans="1:10" x14ac:dyDescent="0.25">
      <c r="A72" s="169"/>
      <c r="B72" s="169"/>
      <c r="C72" s="169"/>
      <c r="D72" s="169"/>
      <c r="E72" s="169" t="s">
        <v>550</v>
      </c>
      <c r="F72" s="170">
        <f>J72*79.14%</f>
        <v>0</v>
      </c>
      <c r="G72" s="169"/>
      <c r="H72" s="170"/>
      <c r="I72" s="169" t="s">
        <v>47</v>
      </c>
      <c r="J72" s="170">
        <v>0</v>
      </c>
    </row>
    <row r="73" spans="1:10" x14ac:dyDescent="0.25">
      <c r="A73" s="169"/>
      <c r="B73" s="169"/>
      <c r="C73" s="169"/>
      <c r="D73" s="169"/>
      <c r="E73" s="213" t="s">
        <v>552</v>
      </c>
      <c r="F73" s="170">
        <f>'PL-ORÇ (2)'!H16-'PL-ORÇ (2)'!G16</f>
        <v>25.019999999999996</v>
      </c>
      <c r="G73" s="169"/>
      <c r="H73" s="203" t="s">
        <v>48</v>
      </c>
      <c r="I73" s="203"/>
      <c r="J73" s="170">
        <f>'PL-ORÇ (2)'!H16</f>
        <v>125.08</v>
      </c>
    </row>
    <row r="74" spans="1:10" ht="15.75" thickBot="1" x14ac:dyDescent="0.3">
      <c r="A74" s="171"/>
      <c r="B74" s="171"/>
      <c r="C74" s="171"/>
      <c r="D74" s="171"/>
      <c r="E74" s="214"/>
      <c r="F74" s="171"/>
      <c r="G74" s="171" t="s">
        <v>49</v>
      </c>
      <c r="H74" s="172">
        <f>'PL-ORÇ (2)'!F16</f>
        <v>768</v>
      </c>
      <c r="I74" s="171" t="s">
        <v>50</v>
      </c>
      <c r="J74" s="173">
        <f>'PL-ORÇ (2)'!I16</f>
        <v>96061.440000000002</v>
      </c>
    </row>
    <row r="75" spans="1:10" x14ac:dyDescent="0.25">
      <c r="A75" s="180" t="s">
        <v>164</v>
      </c>
      <c r="B75" s="181" t="s">
        <v>40</v>
      </c>
      <c r="C75" s="180" t="s">
        <v>41</v>
      </c>
      <c r="D75" s="180" t="s">
        <v>33</v>
      </c>
      <c r="E75" s="204" t="s">
        <v>42</v>
      </c>
      <c r="F75" s="204"/>
      <c r="G75" s="182" t="s">
        <v>43</v>
      </c>
      <c r="H75" s="181" t="s">
        <v>44</v>
      </c>
      <c r="I75" s="181" t="s">
        <v>45</v>
      </c>
      <c r="J75" s="181" t="s">
        <v>34</v>
      </c>
    </row>
    <row r="76" spans="1:10" x14ac:dyDescent="0.25">
      <c r="A76" s="175" t="s">
        <v>46</v>
      </c>
      <c r="B76" s="176" t="s">
        <v>375</v>
      </c>
      <c r="C76" s="175" t="s">
        <v>376</v>
      </c>
      <c r="D76" s="175" t="s">
        <v>377</v>
      </c>
      <c r="E76" s="207" t="s">
        <v>56</v>
      </c>
      <c r="F76" s="207"/>
      <c r="G76" s="177" t="s">
        <v>506</v>
      </c>
      <c r="H76" s="178">
        <v>1</v>
      </c>
      <c r="I76" s="179">
        <f>'PL-ORÇ (2)'!G17</f>
        <v>162.65</v>
      </c>
      <c r="J76" s="179">
        <f>I76</f>
        <v>162.65</v>
      </c>
    </row>
    <row r="77" spans="1:10" x14ac:dyDescent="0.25">
      <c r="A77" s="169"/>
      <c r="B77" s="169"/>
      <c r="C77" s="169"/>
      <c r="D77" s="169"/>
      <c r="E77" s="169" t="s">
        <v>550</v>
      </c>
      <c r="F77" s="170">
        <v>0</v>
      </c>
      <c r="G77" s="169"/>
      <c r="H77" s="170"/>
      <c r="I77" s="169" t="s">
        <v>47</v>
      </c>
      <c r="J77" s="170">
        <v>0</v>
      </c>
    </row>
    <row r="78" spans="1:10" x14ac:dyDescent="0.25">
      <c r="A78" s="169"/>
      <c r="B78" s="169"/>
      <c r="C78" s="169"/>
      <c r="D78" s="169"/>
      <c r="E78" s="213" t="s">
        <v>552</v>
      </c>
      <c r="F78" s="170">
        <f>'PL-ORÇ (2)'!H17-'PL-ORÇ (2)'!G17</f>
        <v>40.659999999999997</v>
      </c>
      <c r="G78" s="169"/>
      <c r="H78" s="203" t="s">
        <v>48</v>
      </c>
      <c r="I78" s="203"/>
      <c r="J78" s="170">
        <f>'PL-ORÇ (2)'!H17</f>
        <v>203.31</v>
      </c>
    </row>
    <row r="79" spans="1:10" ht="15.75" thickBot="1" x14ac:dyDescent="0.3">
      <c r="A79" s="171"/>
      <c r="B79" s="171"/>
      <c r="C79" s="171"/>
      <c r="D79" s="171"/>
      <c r="E79" s="214"/>
      <c r="F79" s="171"/>
      <c r="G79" s="171" t="s">
        <v>49</v>
      </c>
      <c r="H79" s="172">
        <f>'PL-ORÇ (2)'!F17</f>
        <v>567</v>
      </c>
      <c r="I79" s="171" t="s">
        <v>50</v>
      </c>
      <c r="J79" s="173">
        <f>'PL-ORÇ (2)'!I17</f>
        <v>115276.77</v>
      </c>
    </row>
    <row r="80" spans="1:10" x14ac:dyDescent="0.25">
      <c r="A80" s="180" t="s">
        <v>165</v>
      </c>
      <c r="B80" s="181" t="s">
        <v>40</v>
      </c>
      <c r="C80" s="180" t="s">
        <v>41</v>
      </c>
      <c r="D80" s="180" t="s">
        <v>33</v>
      </c>
      <c r="E80" s="204" t="s">
        <v>42</v>
      </c>
      <c r="F80" s="204"/>
      <c r="G80" s="182" t="s">
        <v>43</v>
      </c>
      <c r="H80" s="181" t="s">
        <v>44</v>
      </c>
      <c r="I80" s="181" t="s">
        <v>45</v>
      </c>
      <c r="J80" s="181" t="s">
        <v>34</v>
      </c>
    </row>
    <row r="81" spans="1:10" ht="51" x14ac:dyDescent="0.25">
      <c r="A81" s="154" t="s">
        <v>51</v>
      </c>
      <c r="B81" s="155" t="s">
        <v>63</v>
      </c>
      <c r="C81" s="154" t="s">
        <v>3</v>
      </c>
      <c r="D81" s="154" t="s">
        <v>64</v>
      </c>
      <c r="E81" s="205" t="s">
        <v>53</v>
      </c>
      <c r="F81" s="205"/>
      <c r="G81" s="156" t="s">
        <v>506</v>
      </c>
      <c r="H81" s="157">
        <v>1</v>
      </c>
      <c r="I81" s="158">
        <f>'PL-ORÇ (2)'!G18</f>
        <v>144.28</v>
      </c>
      <c r="J81" s="158">
        <f>I81</f>
        <v>144.28</v>
      </c>
    </row>
    <row r="82" spans="1:10" ht="63.75" x14ac:dyDescent="0.25">
      <c r="A82" s="159" t="s">
        <v>59</v>
      </c>
      <c r="B82" s="160" t="s">
        <v>71</v>
      </c>
      <c r="C82" s="159" t="s">
        <v>3</v>
      </c>
      <c r="D82" s="159" t="s">
        <v>72</v>
      </c>
      <c r="E82" s="206" t="s">
        <v>53</v>
      </c>
      <c r="F82" s="206"/>
      <c r="G82" s="161" t="s">
        <v>506</v>
      </c>
      <c r="H82" s="162">
        <v>1</v>
      </c>
      <c r="I82" s="163">
        <v>56.46</v>
      </c>
      <c r="J82" s="163">
        <v>56.46</v>
      </c>
    </row>
    <row r="83" spans="1:10" ht="51" x14ac:dyDescent="0.25">
      <c r="A83" s="159" t="s">
        <v>59</v>
      </c>
      <c r="B83" s="160" t="s">
        <v>65</v>
      </c>
      <c r="C83" s="159" t="s">
        <v>3</v>
      </c>
      <c r="D83" s="159" t="s">
        <v>66</v>
      </c>
      <c r="E83" s="206" t="s">
        <v>53</v>
      </c>
      <c r="F83" s="206"/>
      <c r="G83" s="161" t="s">
        <v>506</v>
      </c>
      <c r="H83" s="162">
        <v>1</v>
      </c>
      <c r="I83" s="163">
        <v>33.74</v>
      </c>
      <c r="J83" s="163">
        <v>33.74</v>
      </c>
    </row>
    <row r="84" spans="1:10" ht="25.5" x14ac:dyDescent="0.25">
      <c r="A84" s="159" t="s">
        <v>59</v>
      </c>
      <c r="B84" s="160" t="s">
        <v>73</v>
      </c>
      <c r="C84" s="159" t="s">
        <v>3</v>
      </c>
      <c r="D84" s="159" t="s">
        <v>74</v>
      </c>
      <c r="E84" s="206" t="s">
        <v>62</v>
      </c>
      <c r="F84" s="206"/>
      <c r="G84" s="161" t="s">
        <v>506</v>
      </c>
      <c r="H84" s="162">
        <v>1</v>
      </c>
      <c r="I84" s="163">
        <v>23.43</v>
      </c>
      <c r="J84" s="163">
        <v>23.43</v>
      </c>
    </row>
    <row r="85" spans="1:10" ht="51" x14ac:dyDescent="0.25">
      <c r="A85" s="159" t="s">
        <v>59</v>
      </c>
      <c r="B85" s="160" t="s">
        <v>69</v>
      </c>
      <c r="C85" s="159" t="s">
        <v>3</v>
      </c>
      <c r="D85" s="159" t="s">
        <v>70</v>
      </c>
      <c r="E85" s="206" t="s">
        <v>53</v>
      </c>
      <c r="F85" s="206"/>
      <c r="G85" s="161" t="s">
        <v>506</v>
      </c>
      <c r="H85" s="162">
        <v>1</v>
      </c>
      <c r="I85" s="163">
        <v>26.99</v>
      </c>
      <c r="J85" s="163">
        <v>26.99</v>
      </c>
    </row>
    <row r="86" spans="1:10" ht="51" x14ac:dyDescent="0.25">
      <c r="A86" s="159" t="s">
        <v>59</v>
      </c>
      <c r="B86" s="160" t="s">
        <v>67</v>
      </c>
      <c r="C86" s="159" t="s">
        <v>3</v>
      </c>
      <c r="D86" s="159" t="s">
        <v>68</v>
      </c>
      <c r="E86" s="206" t="s">
        <v>53</v>
      </c>
      <c r="F86" s="206"/>
      <c r="G86" s="161" t="s">
        <v>506</v>
      </c>
      <c r="H86" s="162">
        <v>1</v>
      </c>
      <c r="I86" s="163">
        <v>3.66</v>
      </c>
      <c r="J86" s="163">
        <v>3.66</v>
      </c>
    </row>
    <row r="87" spans="1:10" x14ac:dyDescent="0.25">
      <c r="A87" s="169"/>
      <c r="B87" s="169"/>
      <c r="C87" s="169"/>
      <c r="D87" s="169"/>
      <c r="E87" s="169" t="s">
        <v>550</v>
      </c>
      <c r="F87" s="170">
        <f>J87*79.14%</f>
        <v>0</v>
      </c>
      <c r="G87" s="169"/>
      <c r="H87" s="170"/>
      <c r="I87" s="169" t="s">
        <v>47</v>
      </c>
      <c r="J87" s="170">
        <v>0</v>
      </c>
    </row>
    <row r="88" spans="1:10" x14ac:dyDescent="0.25">
      <c r="A88" s="169"/>
      <c r="B88" s="169"/>
      <c r="C88" s="169"/>
      <c r="D88" s="169"/>
      <c r="E88" s="169" t="s">
        <v>552</v>
      </c>
      <c r="F88" s="170">
        <f>'PL-ORÇ (2)'!H18-'PL-ORÇ (2)'!G18</f>
        <v>36.069999999999993</v>
      </c>
      <c r="G88" s="169"/>
      <c r="H88" s="203" t="s">
        <v>48</v>
      </c>
      <c r="I88" s="203"/>
      <c r="J88" s="170">
        <f>'PL-ORÇ (2)'!H18</f>
        <v>180.35</v>
      </c>
    </row>
    <row r="89" spans="1:10" ht="15.75" thickBot="1" x14ac:dyDescent="0.3">
      <c r="A89" s="171"/>
      <c r="B89" s="171"/>
      <c r="C89" s="171"/>
      <c r="D89" s="171"/>
      <c r="E89" s="171"/>
      <c r="F89" s="171"/>
      <c r="G89" s="171" t="s">
        <v>49</v>
      </c>
      <c r="H89" s="172">
        <f>'PL-ORÇ (2)'!F18</f>
        <v>389</v>
      </c>
      <c r="I89" s="171" t="s">
        <v>50</v>
      </c>
      <c r="J89" s="173">
        <f>'PL-ORÇ (2)'!I18</f>
        <v>70156.149999999994</v>
      </c>
    </row>
    <row r="90" spans="1:10" x14ac:dyDescent="0.25">
      <c r="A90" s="180" t="s">
        <v>166</v>
      </c>
      <c r="B90" s="181" t="s">
        <v>40</v>
      </c>
      <c r="C90" s="180" t="s">
        <v>41</v>
      </c>
      <c r="D90" s="180" t="s">
        <v>33</v>
      </c>
      <c r="E90" s="204" t="s">
        <v>42</v>
      </c>
      <c r="F90" s="204"/>
      <c r="G90" s="182" t="s">
        <v>43</v>
      </c>
      <c r="H90" s="181" t="s">
        <v>44</v>
      </c>
      <c r="I90" s="181" t="s">
        <v>45</v>
      </c>
      <c r="J90" s="181" t="s">
        <v>34</v>
      </c>
    </row>
    <row r="91" spans="1:10" ht="25.5" x14ac:dyDescent="0.25">
      <c r="A91" s="154" t="s">
        <v>51</v>
      </c>
      <c r="B91" s="155" t="s">
        <v>380</v>
      </c>
      <c r="C91" s="154" t="s">
        <v>3</v>
      </c>
      <c r="D91" s="154" t="s">
        <v>381</v>
      </c>
      <c r="E91" s="211" t="s">
        <v>53</v>
      </c>
      <c r="F91" s="211"/>
      <c r="G91" s="156" t="s">
        <v>506</v>
      </c>
      <c r="H91" s="157">
        <v>1</v>
      </c>
      <c r="I91" s="158">
        <f>'PL-ORÇ (2)'!G19</f>
        <v>207.71</v>
      </c>
      <c r="J91" s="158">
        <f>I91</f>
        <v>207.71</v>
      </c>
    </row>
    <row r="92" spans="1:10" ht="25.5" x14ac:dyDescent="0.25">
      <c r="A92" s="159" t="s">
        <v>59</v>
      </c>
      <c r="B92" s="160" t="s">
        <v>60</v>
      </c>
      <c r="C92" s="159" t="s">
        <v>3</v>
      </c>
      <c r="D92" s="159" t="s">
        <v>61</v>
      </c>
      <c r="E92" s="206" t="s">
        <v>62</v>
      </c>
      <c r="F92" s="206"/>
      <c r="G92" s="161" t="s">
        <v>506</v>
      </c>
      <c r="H92" s="162">
        <v>1</v>
      </c>
      <c r="I92" s="163">
        <v>19.22</v>
      </c>
      <c r="J92" s="163">
        <v>19.22</v>
      </c>
    </row>
    <row r="93" spans="1:10" ht="25.5" x14ac:dyDescent="0.25">
      <c r="A93" s="159" t="s">
        <v>59</v>
      </c>
      <c r="B93" s="160" t="s">
        <v>430</v>
      </c>
      <c r="C93" s="159" t="s">
        <v>3</v>
      </c>
      <c r="D93" s="159" t="s">
        <v>431</v>
      </c>
      <c r="E93" s="212" t="s">
        <v>53</v>
      </c>
      <c r="F93" s="212"/>
      <c r="G93" s="161" t="s">
        <v>506</v>
      </c>
      <c r="H93" s="162">
        <v>1</v>
      </c>
      <c r="I93" s="163">
        <v>33.869999999999997</v>
      </c>
      <c r="J93" s="163">
        <v>33.869999999999997</v>
      </c>
    </row>
    <row r="94" spans="1:10" ht="25.5" x14ac:dyDescent="0.25">
      <c r="A94" s="159" t="s">
        <v>59</v>
      </c>
      <c r="B94" s="160" t="s">
        <v>428</v>
      </c>
      <c r="C94" s="159" t="s">
        <v>3</v>
      </c>
      <c r="D94" s="159" t="s">
        <v>429</v>
      </c>
      <c r="E94" s="212" t="s">
        <v>53</v>
      </c>
      <c r="F94" s="212"/>
      <c r="G94" s="161" t="s">
        <v>506</v>
      </c>
      <c r="H94" s="162">
        <v>1</v>
      </c>
      <c r="I94" s="163">
        <v>7.62</v>
      </c>
      <c r="J94" s="163">
        <v>7.62</v>
      </c>
    </row>
    <row r="95" spans="1:10" ht="25.5" x14ac:dyDescent="0.25">
      <c r="A95" s="159" t="s">
        <v>59</v>
      </c>
      <c r="B95" s="160" t="s">
        <v>434</v>
      </c>
      <c r="C95" s="159" t="s">
        <v>3</v>
      </c>
      <c r="D95" s="159" t="s">
        <v>435</v>
      </c>
      <c r="E95" s="212" t="s">
        <v>53</v>
      </c>
      <c r="F95" s="212"/>
      <c r="G95" s="161" t="s">
        <v>506</v>
      </c>
      <c r="H95" s="162">
        <v>1</v>
      </c>
      <c r="I95" s="163">
        <v>60.55</v>
      </c>
      <c r="J95" s="163">
        <v>60.55</v>
      </c>
    </row>
    <row r="96" spans="1:10" ht="25.5" x14ac:dyDescent="0.25">
      <c r="A96" s="159" t="s">
        <v>59</v>
      </c>
      <c r="B96" s="160" t="s">
        <v>432</v>
      </c>
      <c r="C96" s="159" t="s">
        <v>3</v>
      </c>
      <c r="D96" s="159" t="s">
        <v>433</v>
      </c>
      <c r="E96" s="212" t="s">
        <v>53</v>
      </c>
      <c r="F96" s="212"/>
      <c r="G96" s="161" t="s">
        <v>506</v>
      </c>
      <c r="H96" s="162">
        <v>1</v>
      </c>
      <c r="I96" s="163">
        <v>86.45</v>
      </c>
      <c r="J96" s="163">
        <v>86.45</v>
      </c>
    </row>
    <row r="97" spans="1:10" x14ac:dyDescent="0.25">
      <c r="A97" s="169"/>
      <c r="B97" s="169"/>
      <c r="C97" s="169"/>
      <c r="D97" s="169"/>
      <c r="E97" s="169" t="s">
        <v>550</v>
      </c>
      <c r="F97" s="170">
        <f>J97*79.14%</f>
        <v>0</v>
      </c>
      <c r="G97" s="169"/>
      <c r="H97" s="170"/>
      <c r="I97" s="169" t="s">
        <v>47</v>
      </c>
      <c r="J97" s="170">
        <v>0</v>
      </c>
    </row>
    <row r="98" spans="1:10" x14ac:dyDescent="0.25">
      <c r="A98" s="169"/>
      <c r="B98" s="169"/>
      <c r="C98" s="169"/>
      <c r="D98" s="169"/>
      <c r="E98" s="169" t="s">
        <v>552</v>
      </c>
      <c r="F98" s="170">
        <f>'PL-ORÇ (2)'!H19-'PL-ORÇ (2)'!G19</f>
        <v>51.929999999999978</v>
      </c>
      <c r="G98" s="169"/>
      <c r="H98" s="203" t="s">
        <v>48</v>
      </c>
      <c r="I98" s="203"/>
      <c r="J98" s="170">
        <f>'PL-ORÇ (2)'!H19</f>
        <v>259.64</v>
      </c>
    </row>
    <row r="99" spans="1:10" ht="15.75" thickBot="1" x14ac:dyDescent="0.3">
      <c r="A99" s="171"/>
      <c r="B99" s="171"/>
      <c r="C99" s="171"/>
      <c r="D99" s="171"/>
      <c r="E99" s="171"/>
      <c r="F99" s="171"/>
      <c r="G99" s="171" t="s">
        <v>49</v>
      </c>
      <c r="H99" s="172">
        <f>'PL-ORÇ (2)'!F19</f>
        <v>38</v>
      </c>
      <c r="I99" s="171" t="s">
        <v>50</v>
      </c>
      <c r="J99" s="173">
        <f>'PL-ORÇ (2)'!I19</f>
        <v>9866.32</v>
      </c>
    </row>
    <row r="100" spans="1:10" x14ac:dyDescent="0.25">
      <c r="A100" s="180" t="s">
        <v>167</v>
      </c>
      <c r="B100" s="181" t="s">
        <v>40</v>
      </c>
      <c r="C100" s="180" t="s">
        <v>41</v>
      </c>
      <c r="D100" s="180" t="s">
        <v>33</v>
      </c>
      <c r="E100" s="204" t="s">
        <v>42</v>
      </c>
      <c r="F100" s="204"/>
      <c r="G100" s="182" t="s">
        <v>43</v>
      </c>
      <c r="H100" s="181" t="s">
        <v>44</v>
      </c>
      <c r="I100" s="181" t="s">
        <v>45</v>
      </c>
      <c r="J100" s="181" t="s">
        <v>34</v>
      </c>
    </row>
    <row r="101" spans="1:10" x14ac:dyDescent="0.25">
      <c r="A101" s="175" t="s">
        <v>46</v>
      </c>
      <c r="B101" s="176" t="s">
        <v>57</v>
      </c>
      <c r="C101" s="175" t="s">
        <v>3</v>
      </c>
      <c r="D101" s="175" t="s">
        <v>58</v>
      </c>
      <c r="E101" s="208" t="s">
        <v>56</v>
      </c>
      <c r="F101" s="209"/>
      <c r="G101" s="177" t="s">
        <v>514</v>
      </c>
      <c r="H101" s="178">
        <v>1</v>
      </c>
      <c r="I101" s="179">
        <f>'PL-ORÇ (2)'!G20</f>
        <v>6.39</v>
      </c>
      <c r="J101" s="179">
        <f>I101</f>
        <v>6.39</v>
      </c>
    </row>
    <row r="102" spans="1:10" x14ac:dyDescent="0.25">
      <c r="A102" s="169"/>
      <c r="B102" s="169"/>
      <c r="C102" s="169"/>
      <c r="D102" s="169"/>
      <c r="E102" s="169" t="s">
        <v>550</v>
      </c>
      <c r="F102" s="170">
        <v>0</v>
      </c>
      <c r="G102" s="169"/>
      <c r="H102" s="170"/>
      <c r="I102" s="169" t="s">
        <v>47</v>
      </c>
      <c r="J102" s="170">
        <v>0</v>
      </c>
    </row>
    <row r="103" spans="1:10" x14ac:dyDescent="0.25">
      <c r="A103" s="169"/>
      <c r="B103" s="169"/>
      <c r="C103" s="169"/>
      <c r="D103" s="169"/>
      <c r="E103" s="213" t="s">
        <v>552</v>
      </c>
      <c r="F103" s="170">
        <f>'PL-ORÇ (2)'!H20-'PL-ORÇ (2)'!G20</f>
        <v>1.6000000000000005</v>
      </c>
      <c r="G103" s="169"/>
      <c r="H103" s="203" t="s">
        <v>48</v>
      </c>
      <c r="I103" s="203"/>
      <c r="J103" s="170">
        <f>'PL-ORÇ (2)'!H20</f>
        <v>7.99</v>
      </c>
    </row>
    <row r="104" spans="1:10" ht="15.75" thickBot="1" x14ac:dyDescent="0.3">
      <c r="A104" s="171"/>
      <c r="B104" s="171"/>
      <c r="C104" s="171"/>
      <c r="D104" s="171"/>
      <c r="E104" s="214"/>
      <c r="F104" s="171"/>
      <c r="G104" s="171" t="s">
        <v>49</v>
      </c>
      <c r="H104" s="172">
        <f>'PL-ORÇ (2)'!F20</f>
        <v>296</v>
      </c>
      <c r="I104" s="171" t="s">
        <v>50</v>
      </c>
      <c r="J104" s="173">
        <f>'PL-ORÇ (2)'!I20</f>
        <v>2365.04</v>
      </c>
    </row>
    <row r="105" spans="1:10" x14ac:dyDescent="0.25">
      <c r="A105" s="180" t="s">
        <v>168</v>
      </c>
      <c r="B105" s="181" t="s">
        <v>40</v>
      </c>
      <c r="C105" s="180" t="s">
        <v>41</v>
      </c>
      <c r="D105" s="180" t="s">
        <v>33</v>
      </c>
      <c r="E105" s="204" t="s">
        <v>42</v>
      </c>
      <c r="F105" s="204"/>
      <c r="G105" s="182" t="s">
        <v>43</v>
      </c>
      <c r="H105" s="181" t="s">
        <v>44</v>
      </c>
      <c r="I105" s="181" t="s">
        <v>45</v>
      </c>
      <c r="J105" s="181" t="s">
        <v>34</v>
      </c>
    </row>
    <row r="106" spans="1:10" x14ac:dyDescent="0.25">
      <c r="A106" s="175" t="s">
        <v>46</v>
      </c>
      <c r="B106" s="176" t="s">
        <v>54</v>
      </c>
      <c r="C106" s="175" t="s">
        <v>3</v>
      </c>
      <c r="D106" s="175" t="s">
        <v>55</v>
      </c>
      <c r="E106" s="207" t="s">
        <v>56</v>
      </c>
      <c r="F106" s="207"/>
      <c r="G106" s="177" t="s">
        <v>514</v>
      </c>
      <c r="H106" s="178">
        <v>1</v>
      </c>
      <c r="I106" s="179">
        <v>6.64</v>
      </c>
      <c r="J106" s="179">
        <v>6.64</v>
      </c>
    </row>
    <row r="107" spans="1:10" x14ac:dyDescent="0.25">
      <c r="A107" s="169"/>
      <c r="B107" s="169"/>
      <c r="C107" s="169"/>
      <c r="D107" s="169"/>
      <c r="E107" s="169" t="s">
        <v>550</v>
      </c>
      <c r="F107" s="170">
        <f>J107*79.14%</f>
        <v>0</v>
      </c>
      <c r="G107" s="169"/>
      <c r="H107" s="170"/>
      <c r="I107" s="169" t="s">
        <v>47</v>
      </c>
      <c r="J107" s="170">
        <v>0</v>
      </c>
    </row>
    <row r="108" spans="1:10" x14ac:dyDescent="0.25">
      <c r="A108" s="169"/>
      <c r="B108" s="169"/>
      <c r="C108" s="169"/>
      <c r="D108" s="169"/>
      <c r="E108" s="213" t="s">
        <v>552</v>
      </c>
      <c r="F108" s="170">
        <f>'PL-ORÇ (2)'!H21-'PL-ORÇ (2)'!G21</f>
        <v>1.660000000000001</v>
      </c>
      <c r="G108" s="169"/>
      <c r="H108" s="203" t="s">
        <v>48</v>
      </c>
      <c r="I108" s="203"/>
      <c r="J108" s="170">
        <f>'PL-ORÇ (2)'!H21</f>
        <v>8.3000000000000007</v>
      </c>
    </row>
    <row r="109" spans="1:10" ht="15.75" thickBot="1" x14ac:dyDescent="0.3">
      <c r="A109" s="171"/>
      <c r="B109" s="171"/>
      <c r="C109" s="171"/>
      <c r="D109" s="171"/>
      <c r="E109" s="220"/>
      <c r="F109" s="171"/>
      <c r="G109" s="171" t="s">
        <v>49</v>
      </c>
      <c r="H109" s="172">
        <f>'PL-ORÇ (2)'!F21</f>
        <v>3293</v>
      </c>
      <c r="I109" s="171" t="s">
        <v>50</v>
      </c>
      <c r="J109" s="173">
        <f>'PL-ORÇ (2)'!I21</f>
        <v>27331.9</v>
      </c>
    </row>
    <row r="110" spans="1:10" ht="15.75" thickTop="1" x14ac:dyDescent="0.25">
      <c r="A110" s="174"/>
      <c r="B110" s="174"/>
      <c r="C110" s="174"/>
      <c r="D110" s="174"/>
      <c r="E110" s="174"/>
      <c r="F110" s="174"/>
      <c r="G110" s="174"/>
      <c r="H110" s="174"/>
      <c r="I110" s="174"/>
      <c r="J110" s="174"/>
    </row>
    <row r="111" spans="1:10" ht="15.75" thickBot="1" x14ac:dyDescent="0.3">
      <c r="A111" s="183" t="s">
        <v>12</v>
      </c>
      <c r="B111" s="183"/>
      <c r="C111" s="183"/>
      <c r="D111" s="183" t="s">
        <v>56</v>
      </c>
      <c r="E111" s="183"/>
      <c r="F111" s="218"/>
      <c r="G111" s="218"/>
      <c r="H111" s="184"/>
      <c r="I111" s="183"/>
      <c r="J111" s="185">
        <f>J119</f>
        <v>10750</v>
      </c>
    </row>
    <row r="112" spans="1:10" x14ac:dyDescent="0.25">
      <c r="A112" s="180" t="s">
        <v>553</v>
      </c>
      <c r="B112" s="181" t="s">
        <v>40</v>
      </c>
      <c r="C112" s="180" t="s">
        <v>41</v>
      </c>
      <c r="D112" s="180" t="s">
        <v>33</v>
      </c>
      <c r="E112" s="204" t="s">
        <v>42</v>
      </c>
      <c r="F112" s="204"/>
      <c r="G112" s="182" t="s">
        <v>43</v>
      </c>
      <c r="H112" s="181" t="s">
        <v>44</v>
      </c>
      <c r="I112" s="181" t="s">
        <v>45</v>
      </c>
      <c r="J112" s="181" t="s">
        <v>34</v>
      </c>
    </row>
    <row r="113" spans="1:10" ht="30" customHeight="1" x14ac:dyDescent="0.25">
      <c r="A113" s="154" t="s">
        <v>51</v>
      </c>
      <c r="B113" s="155">
        <v>83693</v>
      </c>
      <c r="C113" s="154" t="s">
        <v>3</v>
      </c>
      <c r="D113" s="154" t="s">
        <v>382</v>
      </c>
      <c r="E113" s="205" t="s">
        <v>436</v>
      </c>
      <c r="F113" s="205"/>
      <c r="G113" s="156" t="s">
        <v>173</v>
      </c>
      <c r="H113" s="157">
        <v>1</v>
      </c>
      <c r="I113" s="158">
        <f>'PL-ORÇ (2)'!G36</f>
        <v>1.72</v>
      </c>
      <c r="J113" s="158">
        <f>I113</f>
        <v>1.72</v>
      </c>
    </row>
    <row r="114" spans="1:10" ht="30" customHeight="1" x14ac:dyDescent="0.25">
      <c r="A114" s="159" t="s">
        <v>59</v>
      </c>
      <c r="B114" s="160" t="s">
        <v>437</v>
      </c>
      <c r="C114" s="159" t="s">
        <v>3</v>
      </c>
      <c r="D114" s="159" t="s">
        <v>438</v>
      </c>
      <c r="E114" s="206" t="s">
        <v>62</v>
      </c>
      <c r="F114" s="206"/>
      <c r="G114" s="161" t="s">
        <v>173</v>
      </c>
      <c r="H114" s="162">
        <v>3.6999999999999998E-2</v>
      </c>
      <c r="I114" s="163">
        <v>22.4</v>
      </c>
      <c r="J114" s="163">
        <v>0.82</v>
      </c>
    </row>
    <row r="115" spans="1:10" ht="30" customHeight="1" x14ac:dyDescent="0.25">
      <c r="A115" s="159" t="s">
        <v>59</v>
      </c>
      <c r="B115" s="160" t="s">
        <v>426</v>
      </c>
      <c r="C115" s="159" t="s">
        <v>3</v>
      </c>
      <c r="D115" s="159" t="s">
        <v>427</v>
      </c>
      <c r="E115" s="206" t="s">
        <v>62</v>
      </c>
      <c r="F115" s="206"/>
      <c r="G115" s="161" t="s">
        <v>173</v>
      </c>
      <c r="H115" s="162">
        <v>1.6E-2</v>
      </c>
      <c r="I115" s="163">
        <v>16.27</v>
      </c>
      <c r="J115" s="163">
        <v>0.26</v>
      </c>
    </row>
    <row r="116" spans="1:10" ht="30" customHeight="1" x14ac:dyDescent="0.25">
      <c r="A116" s="164" t="s">
        <v>46</v>
      </c>
      <c r="B116" s="165" t="s">
        <v>75</v>
      </c>
      <c r="C116" s="164" t="s">
        <v>3</v>
      </c>
      <c r="D116" s="164" t="s">
        <v>76</v>
      </c>
      <c r="E116" s="202" t="s">
        <v>56</v>
      </c>
      <c r="F116" s="202"/>
      <c r="G116" s="166" t="s">
        <v>77</v>
      </c>
      <c r="H116" s="167">
        <v>0.106</v>
      </c>
      <c r="I116" s="168">
        <v>4.5999999999999996</v>
      </c>
      <c r="J116" s="168">
        <v>0.48875000000000002</v>
      </c>
    </row>
    <row r="117" spans="1:10" x14ac:dyDescent="0.25">
      <c r="A117" s="169"/>
      <c r="B117" s="169"/>
      <c r="C117" s="169"/>
      <c r="D117" s="169"/>
      <c r="E117" s="169" t="s">
        <v>550</v>
      </c>
      <c r="F117" s="170">
        <f>J117*79.14%</f>
        <v>1.361208</v>
      </c>
      <c r="G117" s="169"/>
      <c r="H117" s="170"/>
      <c r="I117" s="169" t="s">
        <v>47</v>
      </c>
      <c r="J117" s="170">
        <f>J113</f>
        <v>1.72</v>
      </c>
    </row>
    <row r="118" spans="1:10" x14ac:dyDescent="0.25">
      <c r="A118" s="169"/>
      <c r="B118" s="169"/>
      <c r="C118" s="169"/>
      <c r="D118" s="169"/>
      <c r="E118" s="169" t="s">
        <v>552</v>
      </c>
      <c r="F118" s="170">
        <f>'PL-ORÇ (2)'!H36-'PL-ORÇ (2)'!G36</f>
        <v>0.42999999999999994</v>
      </c>
      <c r="G118" s="169"/>
      <c r="H118" s="203" t="s">
        <v>48</v>
      </c>
      <c r="I118" s="203"/>
      <c r="J118" s="170">
        <f>'PL-ORÇ (2)'!H36</f>
        <v>2.15</v>
      </c>
    </row>
    <row r="119" spans="1:10" ht="15.75" thickBot="1" x14ac:dyDescent="0.3">
      <c r="A119" s="171"/>
      <c r="B119" s="171"/>
      <c r="C119" s="171"/>
      <c r="D119" s="171"/>
      <c r="E119" s="171"/>
      <c r="F119" s="171"/>
      <c r="G119" s="171" t="s">
        <v>49</v>
      </c>
      <c r="H119" s="172">
        <f>'PL-ORÇ (2)'!F36</f>
        <v>5000</v>
      </c>
      <c r="I119" s="171" t="s">
        <v>50</v>
      </c>
      <c r="J119" s="173">
        <f>'PL-ORÇ (2)'!I36</f>
        <v>10750</v>
      </c>
    </row>
    <row r="120" spans="1:10" x14ac:dyDescent="0.25">
      <c r="A120" s="186"/>
      <c r="B120" s="186"/>
      <c r="C120" s="186"/>
      <c r="D120" s="186"/>
      <c r="E120" s="186"/>
      <c r="F120" s="186"/>
      <c r="G120" s="186"/>
      <c r="H120" s="186"/>
      <c r="I120" s="186"/>
      <c r="J120" s="186"/>
    </row>
  </sheetData>
  <mergeCells count="94">
    <mergeCell ref="E21:F21"/>
    <mergeCell ref="E22:F22"/>
    <mergeCell ref="E28:F28"/>
    <mergeCell ref="E20:F20"/>
    <mergeCell ref="E23:F23"/>
    <mergeCell ref="E24:F24"/>
    <mergeCell ref="E25:F25"/>
    <mergeCell ref="E31:E32"/>
    <mergeCell ref="E78:E79"/>
    <mergeCell ref="E62:E63"/>
    <mergeCell ref="E43:F43"/>
    <mergeCell ref="E44:F44"/>
    <mergeCell ref="E45:F45"/>
    <mergeCell ref="F111:G111"/>
    <mergeCell ref="E112:F112"/>
    <mergeCell ref="E80:F80"/>
    <mergeCell ref="E82:F82"/>
    <mergeCell ref="E64:F64"/>
    <mergeCell ref="E65:F65"/>
    <mergeCell ref="E67:E68"/>
    <mergeCell ref="E103:E104"/>
    <mergeCell ref="E113:F113"/>
    <mergeCell ref="E114:F114"/>
    <mergeCell ref="E115:F115"/>
    <mergeCell ref="E116:F116"/>
    <mergeCell ref="H118:I118"/>
    <mergeCell ref="E85:F85"/>
    <mergeCell ref="E86:F86"/>
    <mergeCell ref="E81:F81"/>
    <mergeCell ref="H47:I47"/>
    <mergeCell ref="E35:F35"/>
    <mergeCell ref="E36:F36"/>
    <mergeCell ref="E37:F37"/>
    <mergeCell ref="H39:I39"/>
    <mergeCell ref="E41:F41"/>
    <mergeCell ref="E42:F42"/>
    <mergeCell ref="E47:E48"/>
    <mergeCell ref="F50:G50"/>
    <mergeCell ref="E69:F69"/>
    <mergeCell ref="E70:F70"/>
    <mergeCell ref="H73:I73"/>
    <mergeCell ref="E83:F83"/>
    <mergeCell ref="E84:F84"/>
    <mergeCell ref="E105:F105"/>
    <mergeCell ref="E106:F106"/>
    <mergeCell ref="H108:I108"/>
    <mergeCell ref="E95:F95"/>
    <mergeCell ref="E96:F96"/>
    <mergeCell ref="H98:I98"/>
    <mergeCell ref="E108:E109"/>
    <mergeCell ref="H18:I18"/>
    <mergeCell ref="A6:J6"/>
    <mergeCell ref="E11:F11"/>
    <mergeCell ref="E12:F12"/>
    <mergeCell ref="E13:F13"/>
    <mergeCell ref="E14:F14"/>
    <mergeCell ref="F8:G8"/>
    <mergeCell ref="E9:F9"/>
    <mergeCell ref="E10:F10"/>
    <mergeCell ref="E15:F15"/>
    <mergeCell ref="E16:F16"/>
    <mergeCell ref="E18:E19"/>
    <mergeCell ref="H67:I67"/>
    <mergeCell ref="E100:F100"/>
    <mergeCell ref="E101:F101"/>
    <mergeCell ref="H103:I103"/>
    <mergeCell ref="E29:F29"/>
    <mergeCell ref="E71:F71"/>
    <mergeCell ref="F34:G34"/>
    <mergeCell ref="E90:F90"/>
    <mergeCell ref="E91:F91"/>
    <mergeCell ref="E92:F92"/>
    <mergeCell ref="E93:F93"/>
    <mergeCell ref="E94:F94"/>
    <mergeCell ref="E39:E40"/>
    <mergeCell ref="E73:E74"/>
    <mergeCell ref="H88:I88"/>
    <mergeCell ref="H62:I62"/>
    <mergeCell ref="E26:F26"/>
    <mergeCell ref="E27:F27"/>
    <mergeCell ref="H31:I31"/>
    <mergeCell ref="H78:I78"/>
    <mergeCell ref="E51:F51"/>
    <mergeCell ref="E52:F52"/>
    <mergeCell ref="E53:F53"/>
    <mergeCell ref="E54:F54"/>
    <mergeCell ref="E75:F75"/>
    <mergeCell ref="E76:F76"/>
    <mergeCell ref="E55:F55"/>
    <mergeCell ref="E56:F56"/>
    <mergeCell ref="E57:F57"/>
    <mergeCell ref="E58:F58"/>
    <mergeCell ref="E59:F59"/>
    <mergeCell ref="E60:F60"/>
  </mergeCells>
  <phoneticPr fontId="6" type="noConversion"/>
  <pageMargins left="0.51181102362204722" right="0.51181102362204722" top="0.78740157480314965" bottom="0.78740157480314965" header="0.31496062992125984" footer="0.31496062992125984"/>
  <pageSetup paperSize="9" scale="65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AB24"/>
  <sheetViews>
    <sheetView zoomScale="80" zoomScaleNormal="80" zoomScaleSheetLayoutView="90" workbookViewId="0">
      <selection sqref="A1:A4"/>
    </sheetView>
  </sheetViews>
  <sheetFormatPr defaultRowHeight="15" x14ac:dyDescent="0.25"/>
  <cols>
    <col min="1" max="1" width="6.7109375" customWidth="1"/>
    <col min="2" max="2" width="63.7109375" customWidth="1"/>
    <col min="3" max="3" width="12.42578125" bestFit="1" customWidth="1"/>
    <col min="4" max="4" width="17" bestFit="1" customWidth="1"/>
    <col min="5" max="5" width="4.140625" bestFit="1" customWidth="1"/>
    <col min="6" max="6" width="21.42578125" bestFit="1" customWidth="1"/>
    <col min="7" max="7" width="2.7109375" bestFit="1" customWidth="1"/>
    <col min="8" max="8" width="15" bestFit="1" customWidth="1"/>
    <col min="9" max="9" width="2.7109375" bestFit="1" customWidth="1"/>
    <col min="10" max="10" width="15" bestFit="1" customWidth="1"/>
    <col min="11" max="11" width="2.7109375" bestFit="1" customWidth="1"/>
    <col min="12" max="12" width="15" bestFit="1" customWidth="1"/>
    <col min="13" max="13" width="2.7109375" style="21" bestFit="1" customWidth="1"/>
    <col min="14" max="14" width="15" bestFit="1" customWidth="1"/>
    <col min="15" max="15" width="2.7109375" bestFit="1" customWidth="1"/>
    <col min="16" max="16" width="15" bestFit="1" customWidth="1"/>
    <col min="17" max="17" width="2.7109375" bestFit="1" customWidth="1"/>
    <col min="18" max="18" width="15" bestFit="1" customWidth="1"/>
    <col min="19" max="19" width="2.7109375" bestFit="1" customWidth="1"/>
    <col min="20" max="20" width="15" bestFit="1" customWidth="1"/>
    <col min="21" max="21" width="2.7109375" bestFit="1" customWidth="1"/>
    <col min="22" max="22" width="15" bestFit="1" customWidth="1"/>
    <col min="23" max="23" width="2.7109375" bestFit="1" customWidth="1"/>
    <col min="24" max="24" width="15" bestFit="1" customWidth="1"/>
    <col min="25" max="25" width="2.7109375" bestFit="1" customWidth="1"/>
    <col min="26" max="26" width="15" bestFit="1" customWidth="1"/>
    <col min="27" max="27" width="2.7109375" bestFit="1" customWidth="1"/>
    <col min="28" max="28" width="15" bestFit="1" customWidth="1"/>
  </cols>
  <sheetData>
    <row r="1" spans="1:28" ht="15.75" x14ac:dyDescent="0.25">
      <c r="A1" s="123" t="s">
        <v>545</v>
      </c>
    </row>
    <row r="2" spans="1:28" ht="15.75" x14ac:dyDescent="0.25">
      <c r="A2" s="123" t="s">
        <v>544</v>
      </c>
    </row>
    <row r="3" spans="1:28" ht="15.75" x14ac:dyDescent="0.25">
      <c r="A3" s="123" t="s">
        <v>495</v>
      </c>
    </row>
    <row r="4" spans="1:28" ht="15.75" x14ac:dyDescent="0.25">
      <c r="A4" s="191" t="s">
        <v>496</v>
      </c>
    </row>
    <row r="9" spans="1:28" ht="21" x14ac:dyDescent="0.35">
      <c r="A9" s="226" t="s">
        <v>105</v>
      </c>
      <c r="B9" s="227"/>
      <c r="C9" s="227"/>
      <c r="D9" s="227"/>
      <c r="E9" s="227"/>
      <c r="F9" s="227"/>
      <c r="G9" s="227"/>
      <c r="H9" s="227"/>
      <c r="I9" s="227"/>
      <c r="J9" s="227"/>
      <c r="K9" s="227"/>
      <c r="L9" s="227"/>
      <c r="M9" s="227"/>
      <c r="N9" s="227"/>
      <c r="O9" s="227"/>
      <c r="P9" s="227"/>
      <c r="Q9" s="227"/>
      <c r="R9" s="227"/>
      <c r="S9" s="227"/>
      <c r="T9" s="227"/>
      <c r="U9" s="227"/>
      <c r="V9" s="227"/>
      <c r="W9" s="227"/>
      <c r="X9" s="227"/>
      <c r="Y9" s="227"/>
      <c r="Z9" s="227"/>
      <c r="AA9" s="227"/>
      <c r="AB9" s="227"/>
    </row>
    <row r="11" spans="1:28" s="1" customFormat="1" ht="30" customHeight="1" x14ac:dyDescent="0.25">
      <c r="A11" s="225" t="s">
        <v>0</v>
      </c>
      <c r="B11" s="225" t="s">
        <v>1</v>
      </c>
      <c r="C11" s="225" t="s">
        <v>79</v>
      </c>
      <c r="D11" s="225" t="s">
        <v>80</v>
      </c>
      <c r="E11" s="225" t="s">
        <v>83</v>
      </c>
      <c r="F11" s="225"/>
      <c r="G11" s="225" t="s">
        <v>84</v>
      </c>
      <c r="H11" s="225"/>
      <c r="I11" s="225" t="s">
        <v>85</v>
      </c>
      <c r="J11" s="225"/>
      <c r="K11" s="225" t="s">
        <v>86</v>
      </c>
      <c r="L11" s="225"/>
      <c r="M11" s="225" t="s">
        <v>87</v>
      </c>
      <c r="N11" s="225"/>
      <c r="O11" s="225" t="s">
        <v>88</v>
      </c>
      <c r="P11" s="225"/>
      <c r="Q11" s="225" t="s">
        <v>89</v>
      </c>
      <c r="R11" s="225"/>
      <c r="S11" s="225" t="s">
        <v>90</v>
      </c>
      <c r="T11" s="225"/>
      <c r="U11" s="225" t="s">
        <v>94</v>
      </c>
      <c r="V11" s="225"/>
      <c r="W11" s="225" t="s">
        <v>91</v>
      </c>
      <c r="X11" s="225"/>
      <c r="Y11" s="225" t="s">
        <v>92</v>
      </c>
      <c r="Z11" s="225"/>
      <c r="AA11" s="225" t="s">
        <v>93</v>
      </c>
      <c r="AB11" s="225"/>
    </row>
    <row r="12" spans="1:28" x14ac:dyDescent="0.25">
      <c r="A12" s="225"/>
      <c r="B12" s="225"/>
      <c r="C12" s="225"/>
      <c r="D12" s="225"/>
      <c r="E12" s="2" t="s">
        <v>81</v>
      </c>
      <c r="F12" s="2" t="s">
        <v>82</v>
      </c>
      <c r="G12" s="2" t="s">
        <v>81</v>
      </c>
      <c r="H12" s="2" t="s">
        <v>82</v>
      </c>
      <c r="I12" s="2" t="s">
        <v>81</v>
      </c>
      <c r="J12" s="2" t="s">
        <v>82</v>
      </c>
      <c r="K12" s="2" t="s">
        <v>81</v>
      </c>
      <c r="L12" s="2" t="s">
        <v>82</v>
      </c>
      <c r="M12" s="2" t="s">
        <v>81</v>
      </c>
      <c r="N12" s="2" t="s">
        <v>82</v>
      </c>
      <c r="O12" s="2" t="s">
        <v>81</v>
      </c>
      <c r="P12" s="2" t="s">
        <v>82</v>
      </c>
      <c r="Q12" s="2" t="s">
        <v>81</v>
      </c>
      <c r="R12" s="2" t="s">
        <v>82</v>
      </c>
      <c r="S12" s="2" t="s">
        <v>81</v>
      </c>
      <c r="T12" s="2" t="s">
        <v>82</v>
      </c>
      <c r="U12" s="2" t="s">
        <v>81</v>
      </c>
      <c r="V12" s="2" t="s">
        <v>82</v>
      </c>
      <c r="W12" s="2" t="s">
        <v>81</v>
      </c>
      <c r="X12" s="2" t="s">
        <v>82</v>
      </c>
      <c r="Y12" s="2" t="s">
        <v>81</v>
      </c>
      <c r="Z12" s="2" t="s">
        <v>82</v>
      </c>
      <c r="AA12" s="2" t="s">
        <v>81</v>
      </c>
      <c r="AB12" s="2" t="s">
        <v>82</v>
      </c>
    </row>
    <row r="14" spans="1:28" x14ac:dyDescent="0.25">
      <c r="A14" s="24" t="s">
        <v>95</v>
      </c>
      <c r="B14" s="24" t="str">
        <f>RESUMO!E12</f>
        <v>COLETA REGULAR DE LIXO</v>
      </c>
      <c r="C14" s="26">
        <f>D14/$D$19</f>
        <v>0.15423993080710738</v>
      </c>
      <c r="D14" s="25">
        <f>RESUMO!K12</f>
        <v>117655.24799999999</v>
      </c>
      <c r="E14" s="4"/>
      <c r="F14" s="22">
        <f>D14</f>
        <v>117655.24799999999</v>
      </c>
      <c r="G14" s="4"/>
      <c r="H14" s="22">
        <f>F14</f>
        <v>117655.24799999999</v>
      </c>
      <c r="I14" s="4"/>
      <c r="J14" s="22">
        <f>H14</f>
        <v>117655.24799999999</v>
      </c>
      <c r="K14" s="4"/>
      <c r="L14" s="22">
        <f>J14</f>
        <v>117655.24799999999</v>
      </c>
      <c r="M14" s="5"/>
      <c r="N14" s="22">
        <f>L14</f>
        <v>117655.24799999999</v>
      </c>
      <c r="O14" s="4"/>
      <c r="P14" s="22">
        <f>N14</f>
        <v>117655.24799999999</v>
      </c>
      <c r="Q14" s="4"/>
      <c r="R14" s="22">
        <f>P14</f>
        <v>117655.24799999999</v>
      </c>
      <c r="S14" s="4"/>
      <c r="T14" s="22">
        <f>R14</f>
        <v>117655.24799999999</v>
      </c>
      <c r="U14" s="4"/>
      <c r="V14" s="22">
        <f>T14</f>
        <v>117655.24799999999</v>
      </c>
      <c r="W14" s="4"/>
      <c r="X14" s="22">
        <f>V14</f>
        <v>117655.24799999999</v>
      </c>
      <c r="Y14" s="4"/>
      <c r="Z14" s="22">
        <f>X14</f>
        <v>117655.24799999999</v>
      </c>
      <c r="AA14" s="4"/>
      <c r="AB14" s="22">
        <f>Z14</f>
        <v>117655.24799999999</v>
      </c>
    </row>
    <row r="15" spans="1:28" x14ac:dyDescent="0.25">
      <c r="A15" s="24" t="s">
        <v>96</v>
      </c>
      <c r="B15" s="24" t="str">
        <f>RESUMO!E14</f>
        <v>VARRIAÇÃO E CAPINA MANUAL DE VIAS E LOGRADOUROS PÚBLICOS</v>
      </c>
      <c r="C15" s="26">
        <f>D15/$D$19</f>
        <v>0.20786299889066256</v>
      </c>
      <c r="D15" s="25">
        <f>RESUMO!K14</f>
        <v>158559.28200000001</v>
      </c>
      <c r="E15" s="4"/>
      <c r="F15" s="22">
        <f t="shared" ref="F15:AB17" si="0">D15</f>
        <v>158559.28200000001</v>
      </c>
      <c r="G15" s="4"/>
      <c r="H15" s="22">
        <f t="shared" si="0"/>
        <v>158559.28200000001</v>
      </c>
      <c r="I15" s="4"/>
      <c r="J15" s="22">
        <f t="shared" si="0"/>
        <v>158559.28200000001</v>
      </c>
      <c r="K15" s="4"/>
      <c r="L15" s="22">
        <f t="shared" si="0"/>
        <v>158559.28200000001</v>
      </c>
      <c r="M15" s="5"/>
      <c r="N15" s="22">
        <f t="shared" si="0"/>
        <v>158559.28200000001</v>
      </c>
      <c r="O15" s="4"/>
      <c r="P15" s="22">
        <f t="shared" si="0"/>
        <v>158559.28200000001</v>
      </c>
      <c r="Q15" s="4"/>
      <c r="R15" s="22">
        <f t="shared" si="0"/>
        <v>158559.28200000001</v>
      </c>
      <c r="S15" s="4"/>
      <c r="T15" s="22">
        <f t="shared" si="0"/>
        <v>158559.28200000001</v>
      </c>
      <c r="U15" s="4"/>
      <c r="V15" s="22">
        <f t="shared" si="0"/>
        <v>158559.28200000001</v>
      </c>
      <c r="W15" s="4"/>
      <c r="X15" s="22">
        <f t="shared" si="0"/>
        <v>158559.28200000001</v>
      </c>
      <c r="Y15" s="4"/>
      <c r="Z15" s="22">
        <f t="shared" si="0"/>
        <v>158559.28200000001</v>
      </c>
      <c r="AA15" s="4"/>
      <c r="AB15" s="22">
        <f t="shared" si="0"/>
        <v>158559.28200000001</v>
      </c>
    </row>
    <row r="16" spans="1:28" x14ac:dyDescent="0.25">
      <c r="A16" s="24" t="s">
        <v>97</v>
      </c>
      <c r="B16" s="24" t="str">
        <f>RESUMO!E16</f>
        <v>SERVIÇO DE TRANSPORTE PARA COLETA E ATERRO SANITÁRIO</v>
      </c>
      <c r="C16" s="26">
        <f>D16/$D$19</f>
        <v>0.47639638494508701</v>
      </c>
      <c r="D16" s="25">
        <f>RESUMO!K16</f>
        <v>363398.33999999997</v>
      </c>
      <c r="E16" s="4"/>
      <c r="F16" s="22">
        <f t="shared" si="0"/>
        <v>363398.33999999997</v>
      </c>
      <c r="G16" s="4"/>
      <c r="H16" s="22">
        <f t="shared" si="0"/>
        <v>363398.33999999997</v>
      </c>
      <c r="I16" s="4"/>
      <c r="J16" s="22">
        <f t="shared" si="0"/>
        <v>363398.33999999997</v>
      </c>
      <c r="K16" s="4"/>
      <c r="L16" s="22">
        <f t="shared" si="0"/>
        <v>363398.33999999997</v>
      </c>
      <c r="M16" s="5"/>
      <c r="N16" s="22">
        <f t="shared" si="0"/>
        <v>363398.33999999997</v>
      </c>
      <c r="O16" s="4"/>
      <c r="P16" s="22">
        <f t="shared" si="0"/>
        <v>363398.33999999997</v>
      </c>
      <c r="Q16" s="4"/>
      <c r="R16" s="22">
        <f t="shared" si="0"/>
        <v>363398.33999999997</v>
      </c>
      <c r="S16" s="4"/>
      <c r="T16" s="22">
        <f t="shared" si="0"/>
        <v>363398.33999999997</v>
      </c>
      <c r="U16" s="4"/>
      <c r="V16" s="22">
        <f t="shared" si="0"/>
        <v>363398.33999999997</v>
      </c>
      <c r="W16" s="4"/>
      <c r="X16" s="22">
        <f t="shared" si="0"/>
        <v>363398.33999999997</v>
      </c>
      <c r="Y16" s="4"/>
      <c r="Z16" s="22">
        <f t="shared" si="0"/>
        <v>363398.33999999997</v>
      </c>
      <c r="AA16" s="4"/>
      <c r="AB16" s="22">
        <f t="shared" si="0"/>
        <v>363398.33999999997</v>
      </c>
    </row>
    <row r="17" spans="1:28" x14ac:dyDescent="0.25">
      <c r="A17" s="24" t="s">
        <v>98</v>
      </c>
      <c r="B17" s="24" t="str">
        <f>RESUMO!E18</f>
        <v>FERRAMENTAS E  E.P.I.</v>
      </c>
      <c r="C17" s="26">
        <f>D17/$D$19</f>
        <v>0.16150068535714299</v>
      </c>
      <c r="D17" s="25">
        <f>RESUMO!K18</f>
        <v>123193.8</v>
      </c>
      <c r="E17" s="4"/>
      <c r="F17" s="22">
        <f t="shared" si="0"/>
        <v>123193.8</v>
      </c>
      <c r="G17" s="4"/>
      <c r="H17" s="22">
        <f t="shared" si="0"/>
        <v>123193.8</v>
      </c>
      <c r="I17" s="4"/>
      <c r="J17" s="22">
        <f t="shared" si="0"/>
        <v>123193.8</v>
      </c>
      <c r="K17" s="4"/>
      <c r="L17" s="22">
        <f t="shared" si="0"/>
        <v>123193.8</v>
      </c>
      <c r="M17" s="5"/>
      <c r="N17" s="22">
        <f t="shared" si="0"/>
        <v>123193.8</v>
      </c>
      <c r="O17" s="4"/>
      <c r="P17" s="22">
        <f t="shared" si="0"/>
        <v>123193.8</v>
      </c>
      <c r="Q17" s="4"/>
      <c r="R17" s="22">
        <f t="shared" si="0"/>
        <v>123193.8</v>
      </c>
      <c r="S17" s="4"/>
      <c r="T17" s="22">
        <f t="shared" si="0"/>
        <v>123193.8</v>
      </c>
      <c r="U17" s="4"/>
      <c r="V17" s="22">
        <f t="shared" si="0"/>
        <v>123193.8</v>
      </c>
      <c r="W17" s="4"/>
      <c r="X17" s="22">
        <f t="shared" si="0"/>
        <v>123193.8</v>
      </c>
      <c r="Y17" s="4"/>
      <c r="Z17" s="22">
        <f t="shared" si="0"/>
        <v>123193.8</v>
      </c>
      <c r="AA17" s="4"/>
      <c r="AB17" s="22">
        <f t="shared" si="0"/>
        <v>123193.8</v>
      </c>
    </row>
    <row r="19" spans="1:28" ht="21" x14ac:dyDescent="0.35">
      <c r="A19" s="30"/>
      <c r="B19" s="30" t="s">
        <v>102</v>
      </c>
      <c r="C19" s="30"/>
      <c r="D19" s="31">
        <f>SUM(D14:D17)</f>
        <v>762806.67</v>
      </c>
      <c r="E19" s="224">
        <f>SUM(F14:F17)</f>
        <v>762806.67</v>
      </c>
      <c r="F19" s="224"/>
      <c r="G19" s="224">
        <f>SUM(H14:H17)</f>
        <v>762806.67</v>
      </c>
      <c r="H19" s="224"/>
      <c r="I19" s="224">
        <f>SUM(J14:J17)</f>
        <v>762806.67</v>
      </c>
      <c r="J19" s="224"/>
      <c r="K19" s="224">
        <f>SUM(L14:L17)</f>
        <v>762806.67</v>
      </c>
      <c r="L19" s="224"/>
      <c r="M19" s="224">
        <f>SUM(N14:N17)</f>
        <v>762806.67</v>
      </c>
      <c r="N19" s="224"/>
      <c r="O19" s="224">
        <f>SUM(P14:P17)</f>
        <v>762806.67</v>
      </c>
      <c r="P19" s="224"/>
      <c r="Q19" s="224">
        <f>SUM(R14:R17)</f>
        <v>762806.67</v>
      </c>
      <c r="R19" s="224"/>
      <c r="S19" s="224">
        <f>SUM(T14:T17)</f>
        <v>762806.67</v>
      </c>
      <c r="T19" s="224"/>
      <c r="U19" s="224">
        <f>SUM(V14:V17)</f>
        <v>762806.67</v>
      </c>
      <c r="V19" s="224"/>
      <c r="W19" s="224">
        <f>SUM(X14:X17)</f>
        <v>762806.67</v>
      </c>
      <c r="X19" s="224"/>
      <c r="Y19" s="224">
        <f>SUM(Z14:Z17)</f>
        <v>762806.67</v>
      </c>
      <c r="Z19" s="224"/>
      <c r="AA19" s="224">
        <f>SUM(AB14:AB17)</f>
        <v>762806.67</v>
      </c>
      <c r="AB19" s="224"/>
    </row>
    <row r="20" spans="1:28" s="16" customFormat="1" ht="21" x14ac:dyDescent="0.35">
      <c r="A20" s="15"/>
      <c r="B20" s="15"/>
      <c r="C20" s="15"/>
      <c r="D20" s="28"/>
      <c r="E20" s="29"/>
      <c r="F20" s="29"/>
      <c r="G20" s="29"/>
      <c r="H20" s="29"/>
      <c r="I20" s="29"/>
      <c r="J20" s="29"/>
      <c r="K20" s="29"/>
      <c r="L20" s="29"/>
      <c r="M20" s="29"/>
      <c r="N20" s="29"/>
      <c r="O20" s="29"/>
      <c r="P20" s="29"/>
      <c r="Q20" s="29"/>
      <c r="R20" s="29"/>
      <c r="S20" s="29"/>
      <c r="T20" s="29"/>
      <c r="U20" s="29"/>
      <c r="V20" s="29"/>
      <c r="W20" s="29"/>
      <c r="X20" s="29"/>
      <c r="Y20" s="29"/>
      <c r="Z20" s="29"/>
      <c r="AA20" s="29"/>
      <c r="AB20" s="29"/>
    </row>
    <row r="21" spans="1:28" ht="21" x14ac:dyDescent="0.35">
      <c r="A21" s="30"/>
      <c r="B21" s="30" t="s">
        <v>104</v>
      </c>
      <c r="C21" s="30"/>
      <c r="D21" s="31"/>
      <c r="E21" s="223">
        <f>E19+D21</f>
        <v>762806.67</v>
      </c>
      <c r="F21" s="223"/>
      <c r="G21" s="223">
        <f>G19+E21</f>
        <v>1525613.34</v>
      </c>
      <c r="H21" s="223"/>
      <c r="I21" s="223">
        <f>I19+G21</f>
        <v>2288420.0100000002</v>
      </c>
      <c r="J21" s="223"/>
      <c r="K21" s="223">
        <f>K19+I21</f>
        <v>3051226.68</v>
      </c>
      <c r="L21" s="223"/>
      <c r="M21" s="223">
        <f>M19+K21</f>
        <v>3814033.35</v>
      </c>
      <c r="N21" s="223"/>
      <c r="O21" s="223">
        <f>O19+M21</f>
        <v>4576840.0200000005</v>
      </c>
      <c r="P21" s="223"/>
      <c r="Q21" s="223">
        <f>Q19+O21</f>
        <v>5339646.6900000004</v>
      </c>
      <c r="R21" s="223"/>
      <c r="S21" s="223">
        <f>S19+Q21</f>
        <v>6102453.3600000003</v>
      </c>
      <c r="T21" s="223"/>
      <c r="U21" s="223">
        <f>U19+S21</f>
        <v>6865260.0300000003</v>
      </c>
      <c r="V21" s="223"/>
      <c r="W21" s="223">
        <f>W19+U21</f>
        <v>7628066.7000000002</v>
      </c>
      <c r="X21" s="223"/>
      <c r="Y21" s="223">
        <f>Y19+W21</f>
        <v>8390873.370000001</v>
      </c>
      <c r="Z21" s="223"/>
      <c r="AA21" s="223">
        <f>AA19+Y21</f>
        <v>9153680.040000001</v>
      </c>
      <c r="AB21" s="223"/>
    </row>
    <row r="24" spans="1:28" ht="21" x14ac:dyDescent="0.35">
      <c r="A24" s="23"/>
      <c r="B24" s="23" t="s">
        <v>103</v>
      </c>
      <c r="C24" s="27">
        <f>+SUM(C14:C17)</f>
        <v>1</v>
      </c>
      <c r="D24" s="23"/>
      <c r="E24" s="23"/>
      <c r="F24" s="32">
        <f>E19/$AA$21</f>
        <v>8.3333333333333329E-2</v>
      </c>
      <c r="G24" s="23"/>
      <c r="H24" s="32">
        <f>G19/$AA$21</f>
        <v>8.3333333333333329E-2</v>
      </c>
      <c r="I24" s="23"/>
      <c r="J24" s="32">
        <f>I19/$AA$21</f>
        <v>8.3333333333333329E-2</v>
      </c>
      <c r="K24" s="23"/>
      <c r="L24" s="32">
        <f>K19/$AA$21</f>
        <v>8.3333333333333329E-2</v>
      </c>
      <c r="M24" s="23"/>
      <c r="N24" s="32">
        <f>M19/$AA$21</f>
        <v>8.3333333333333329E-2</v>
      </c>
      <c r="O24" s="23"/>
      <c r="P24" s="32">
        <f>O19/$AA$21</f>
        <v>8.3333333333333329E-2</v>
      </c>
      <c r="Q24" s="23"/>
      <c r="R24" s="32">
        <f>Q19/$AA$21</f>
        <v>8.3333333333333329E-2</v>
      </c>
      <c r="S24" s="23"/>
      <c r="T24" s="32">
        <f>S19/$AA$21</f>
        <v>8.3333333333333329E-2</v>
      </c>
      <c r="U24" s="23"/>
      <c r="V24" s="32">
        <f>U19/$AA$21</f>
        <v>8.3333333333333329E-2</v>
      </c>
      <c r="W24" s="23"/>
      <c r="X24" s="32">
        <f>W19/$AA$21</f>
        <v>8.3333333333333329E-2</v>
      </c>
      <c r="Y24" s="23"/>
      <c r="Z24" s="32">
        <f>Y19/$AA$21</f>
        <v>8.3333333333333329E-2</v>
      </c>
      <c r="AA24" s="23"/>
      <c r="AB24" s="32">
        <f>AA19/$AA$21</f>
        <v>8.3333333333333329E-2</v>
      </c>
    </row>
  </sheetData>
  <mergeCells count="41">
    <mergeCell ref="A9:AB9"/>
    <mergeCell ref="G11:H11"/>
    <mergeCell ref="I11:J11"/>
    <mergeCell ref="E11:F11"/>
    <mergeCell ref="K11:L11"/>
    <mergeCell ref="A11:A12"/>
    <mergeCell ref="B11:B12"/>
    <mergeCell ref="C11:C12"/>
    <mergeCell ref="D11:D12"/>
    <mergeCell ref="M11:N11"/>
    <mergeCell ref="O11:P11"/>
    <mergeCell ref="Q11:R11"/>
    <mergeCell ref="S11:T11"/>
    <mergeCell ref="U11:V11"/>
    <mergeCell ref="U21:V21"/>
    <mergeCell ref="W21:X21"/>
    <mergeCell ref="Y21:Z21"/>
    <mergeCell ref="AA11:AB11"/>
    <mergeCell ref="AA21:AB21"/>
    <mergeCell ref="Y19:Z19"/>
    <mergeCell ref="AA19:AB19"/>
    <mergeCell ref="W11:X11"/>
    <mergeCell ref="Y11:Z11"/>
    <mergeCell ref="U19:V19"/>
    <mergeCell ref="W19:X19"/>
    <mergeCell ref="Q21:R21"/>
    <mergeCell ref="S21:T21"/>
    <mergeCell ref="E21:F21"/>
    <mergeCell ref="G19:H19"/>
    <mergeCell ref="K19:L19"/>
    <mergeCell ref="M19:N19"/>
    <mergeCell ref="O19:P19"/>
    <mergeCell ref="G21:H21"/>
    <mergeCell ref="I21:J21"/>
    <mergeCell ref="K21:L21"/>
    <mergeCell ref="M21:N21"/>
    <mergeCell ref="O21:P21"/>
    <mergeCell ref="E19:F19"/>
    <mergeCell ref="I19:J19"/>
    <mergeCell ref="Q19:R19"/>
    <mergeCell ref="S19:T19"/>
  </mergeCells>
  <phoneticPr fontId="6" type="noConversion"/>
  <pageMargins left="0.51181102362204722" right="0.51181102362204722" top="0.78740157480314965" bottom="0.78740157480314965" header="0.31496062992125984" footer="0.31496062992125984"/>
  <pageSetup paperSize="9" scale="41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2"/>
  <sheetViews>
    <sheetView zoomScaleNormal="100" zoomScaleSheetLayoutView="90" workbookViewId="0">
      <selection sqref="A1:A4"/>
    </sheetView>
  </sheetViews>
  <sheetFormatPr defaultRowHeight="15" x14ac:dyDescent="0.25"/>
  <cols>
    <col min="1" max="1" width="8" customWidth="1"/>
    <col min="2" max="2" width="50" customWidth="1"/>
    <col min="3" max="3" width="57" customWidth="1"/>
  </cols>
  <sheetData>
    <row r="1" spans="1:3" ht="15.75" x14ac:dyDescent="0.25">
      <c r="A1" s="123" t="s">
        <v>545</v>
      </c>
    </row>
    <row r="2" spans="1:3" ht="15.75" x14ac:dyDescent="0.25">
      <c r="A2" s="123" t="s">
        <v>544</v>
      </c>
    </row>
    <row r="3" spans="1:3" ht="15.75" x14ac:dyDescent="0.25">
      <c r="A3" s="123" t="s">
        <v>495</v>
      </c>
    </row>
    <row r="4" spans="1:3" ht="15.75" x14ac:dyDescent="0.25">
      <c r="A4" s="191" t="s">
        <v>496</v>
      </c>
    </row>
    <row r="8" spans="1:3" ht="15.75" thickBot="1" x14ac:dyDescent="0.3">
      <c r="A8" s="228"/>
      <c r="B8" s="228"/>
      <c r="C8" s="53"/>
    </row>
    <row r="9" spans="1:3" ht="15.75" thickBot="1" x14ac:dyDescent="0.3">
      <c r="A9" s="229" t="s">
        <v>359</v>
      </c>
      <c r="B9" s="230"/>
      <c r="C9" s="231"/>
    </row>
    <row r="10" spans="1:3" ht="15.75" thickBot="1" x14ac:dyDescent="0.3">
      <c r="A10" s="54"/>
      <c r="B10" s="54"/>
      <c r="C10" s="55"/>
    </row>
    <row r="11" spans="1:3" ht="16.5" thickBot="1" x14ac:dyDescent="0.3">
      <c r="A11" s="56" t="s">
        <v>107</v>
      </c>
      <c r="B11" s="57" t="s">
        <v>360</v>
      </c>
      <c r="C11" s="58" t="s">
        <v>361</v>
      </c>
    </row>
    <row r="12" spans="1:3" ht="15.75" x14ac:dyDescent="0.25">
      <c r="A12" s="59">
        <v>1</v>
      </c>
      <c r="B12" s="60" t="s">
        <v>362</v>
      </c>
      <c r="C12" s="61">
        <v>0.03</v>
      </c>
    </row>
    <row r="13" spans="1:3" ht="15.75" x14ac:dyDescent="0.25">
      <c r="A13" s="62">
        <v>2</v>
      </c>
      <c r="B13" s="63" t="s">
        <v>363</v>
      </c>
      <c r="C13" s="64">
        <v>1.5E-3</v>
      </c>
    </row>
    <row r="14" spans="1:3" ht="15.75" x14ac:dyDescent="0.25">
      <c r="A14" s="62">
        <v>3</v>
      </c>
      <c r="B14" s="63" t="s">
        <v>364</v>
      </c>
      <c r="C14" s="64">
        <v>9.7000000000000003E-3</v>
      </c>
    </row>
    <row r="15" spans="1:3" ht="15.75" x14ac:dyDescent="0.25">
      <c r="A15" s="62">
        <v>4</v>
      </c>
      <c r="B15" s="63" t="s">
        <v>365</v>
      </c>
      <c r="C15" s="64">
        <v>5.8999999999999999E-3</v>
      </c>
    </row>
    <row r="16" spans="1:3" ht="15.75" x14ac:dyDescent="0.25">
      <c r="A16" s="62">
        <v>5</v>
      </c>
      <c r="B16" s="63" t="s">
        <v>366</v>
      </c>
      <c r="C16" s="64">
        <v>6.6000000000000003E-2</v>
      </c>
    </row>
    <row r="17" spans="1:3" ht="15.75" x14ac:dyDescent="0.25">
      <c r="A17" s="232">
        <v>6</v>
      </c>
      <c r="B17" s="65" t="s">
        <v>367</v>
      </c>
      <c r="C17" s="64">
        <f>SUM(C18:C21)</f>
        <v>0.1065</v>
      </c>
    </row>
    <row r="18" spans="1:3" ht="15.75" x14ac:dyDescent="0.25">
      <c r="A18" s="232"/>
      <c r="B18" s="63" t="s">
        <v>368</v>
      </c>
      <c r="C18" s="64">
        <v>6.4999999999999997E-3</v>
      </c>
    </row>
    <row r="19" spans="1:3" ht="15.75" x14ac:dyDescent="0.25">
      <c r="A19" s="232"/>
      <c r="B19" s="63" t="s">
        <v>369</v>
      </c>
      <c r="C19" s="64">
        <v>0.03</v>
      </c>
    </row>
    <row r="20" spans="1:3" ht="15.75" x14ac:dyDescent="0.25">
      <c r="A20" s="232"/>
      <c r="B20" s="63" t="s">
        <v>370</v>
      </c>
      <c r="C20" s="64">
        <v>0.05</v>
      </c>
    </row>
    <row r="21" spans="1:3" ht="15.75" x14ac:dyDescent="0.25">
      <c r="A21" s="232"/>
      <c r="B21" s="76" t="s">
        <v>371</v>
      </c>
      <c r="C21" s="77">
        <v>0.02</v>
      </c>
    </row>
    <row r="22" spans="1:3" ht="15.75" x14ac:dyDescent="0.25">
      <c r="A22" s="66"/>
      <c r="B22" s="66"/>
      <c r="C22" s="67"/>
    </row>
    <row r="23" spans="1:3" ht="15.75" x14ac:dyDescent="0.25">
      <c r="A23" s="66"/>
      <c r="B23" s="66"/>
      <c r="C23" s="68"/>
    </row>
    <row r="24" spans="1:3" ht="15.75" x14ac:dyDescent="0.25">
      <c r="A24" s="66"/>
      <c r="B24" s="66"/>
      <c r="C24" s="67"/>
    </row>
    <row r="25" spans="1:3" ht="15.75" x14ac:dyDescent="0.25">
      <c r="A25" s="66"/>
      <c r="B25" s="66"/>
      <c r="C25" s="67"/>
    </row>
    <row r="26" spans="1:3" x14ac:dyDescent="0.25">
      <c r="A26" s="69"/>
      <c r="B26" s="69"/>
      <c r="C26" s="67"/>
    </row>
    <row r="27" spans="1:3" x14ac:dyDescent="0.25">
      <c r="A27" s="69"/>
      <c r="B27" s="69"/>
      <c r="C27" s="67"/>
    </row>
    <row r="28" spans="1:3" ht="18.75" x14ac:dyDescent="0.3">
      <c r="A28" s="70"/>
      <c r="B28" s="70"/>
      <c r="C28" s="16"/>
    </row>
    <row r="29" spans="1:3" ht="18.75" x14ac:dyDescent="0.3">
      <c r="A29" s="70"/>
      <c r="B29" s="70"/>
      <c r="C29" s="16"/>
    </row>
    <row r="30" spans="1:3" ht="18.75" x14ac:dyDescent="0.3">
      <c r="A30" s="70"/>
      <c r="B30" s="70"/>
      <c r="C30" s="16"/>
    </row>
    <row r="31" spans="1:3" ht="18.75" x14ac:dyDescent="0.3">
      <c r="A31" s="70"/>
      <c r="B31" s="70"/>
      <c r="C31" s="16"/>
    </row>
    <row r="32" spans="1:3" ht="18.75" x14ac:dyDescent="0.3">
      <c r="A32" s="70"/>
      <c r="B32" s="70"/>
      <c r="C32" s="16"/>
    </row>
    <row r="33" spans="1:3" ht="18.75" x14ac:dyDescent="0.3">
      <c r="A33" s="70"/>
      <c r="B33" s="70"/>
      <c r="C33" s="16"/>
    </row>
    <row r="34" spans="1:3" x14ac:dyDescent="0.25">
      <c r="A34" s="71"/>
      <c r="B34" s="72"/>
      <c r="C34" s="16"/>
    </row>
    <row r="35" spans="1:3" x14ac:dyDescent="0.25">
      <c r="A35" s="16" t="s">
        <v>372</v>
      </c>
      <c r="B35" s="16"/>
      <c r="C35" s="16"/>
    </row>
    <row r="36" spans="1:3" ht="15.75" thickBot="1" x14ac:dyDescent="0.3">
      <c r="A36" s="16"/>
      <c r="B36" s="16"/>
      <c r="C36" s="16"/>
    </row>
    <row r="37" spans="1:3" ht="19.5" thickBot="1" x14ac:dyDescent="0.35">
      <c r="A37" s="73"/>
      <c r="B37" s="74" t="s">
        <v>373</v>
      </c>
      <c r="C37" s="75">
        <f>(((1+C12+C13+C14)*(1+C15)*(1+C16))/(1-SUM(C17)))-1</f>
        <v>0.24954417826524922</v>
      </c>
    </row>
    <row r="38" spans="1:3" x14ac:dyDescent="0.25">
      <c r="A38" s="16"/>
      <c r="B38" s="16"/>
      <c r="C38" s="16"/>
    </row>
    <row r="39" spans="1:3" x14ac:dyDescent="0.25">
      <c r="A39" s="16"/>
      <c r="B39" s="16"/>
      <c r="C39" s="16"/>
    </row>
    <row r="40" spans="1:3" x14ac:dyDescent="0.25">
      <c r="A40" s="16"/>
      <c r="B40" s="16"/>
      <c r="C40" s="16"/>
    </row>
    <row r="41" spans="1:3" x14ac:dyDescent="0.25">
      <c r="A41" s="233">
        <f>[1]Resumo!C54</f>
        <v>0</v>
      </c>
      <c r="B41" s="233"/>
      <c r="C41" s="16"/>
    </row>
    <row r="42" spans="1:3" x14ac:dyDescent="0.25">
      <c r="A42" s="16"/>
      <c r="B42" s="16"/>
      <c r="C42" s="16"/>
    </row>
    <row r="43" spans="1:3" x14ac:dyDescent="0.25">
      <c r="A43" s="16"/>
      <c r="B43" s="16"/>
      <c r="C43" s="16"/>
    </row>
    <row r="44" spans="1:3" x14ac:dyDescent="0.25">
      <c r="A44" s="16"/>
      <c r="B44" s="16"/>
      <c r="C44" s="16"/>
    </row>
    <row r="45" spans="1:3" x14ac:dyDescent="0.25">
      <c r="A45" s="16"/>
      <c r="B45" s="16"/>
      <c r="C45" s="16"/>
    </row>
    <row r="46" spans="1:3" x14ac:dyDescent="0.25">
      <c r="A46" s="16"/>
      <c r="B46" s="16"/>
      <c r="C46" s="16"/>
    </row>
    <row r="47" spans="1:3" x14ac:dyDescent="0.25">
      <c r="A47" s="16"/>
      <c r="B47" s="16"/>
      <c r="C47" s="16"/>
    </row>
    <row r="48" spans="1:3" x14ac:dyDescent="0.25">
      <c r="A48" s="16"/>
      <c r="B48" s="16"/>
      <c r="C48" s="16"/>
    </row>
    <row r="49" spans="1:3" x14ac:dyDescent="0.25">
      <c r="A49" s="16"/>
      <c r="B49" s="16"/>
      <c r="C49" s="16"/>
    </row>
    <row r="50" spans="1:3" x14ac:dyDescent="0.25">
      <c r="A50" s="16"/>
      <c r="B50" s="16"/>
      <c r="C50" s="16"/>
    </row>
    <row r="51" spans="1:3" x14ac:dyDescent="0.25">
      <c r="A51" s="16"/>
      <c r="B51" s="16"/>
      <c r="C51" s="16"/>
    </row>
    <row r="52" spans="1:3" x14ac:dyDescent="0.25">
      <c r="A52" s="16"/>
      <c r="B52" s="16"/>
      <c r="C52" s="16"/>
    </row>
  </sheetData>
  <mergeCells count="4">
    <mergeCell ref="A8:B8"/>
    <mergeCell ref="A9:C9"/>
    <mergeCell ref="A17:A21"/>
    <mergeCell ref="A41:B41"/>
  </mergeCells>
  <pageMargins left="0.511811024" right="0.511811024" top="0.78740157499999996" bottom="0.78740157499999996" header="0.31496062000000002" footer="0.31496062000000002"/>
  <pageSetup paperSize="9" scale="74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B1:J178"/>
  <sheetViews>
    <sheetView view="pageBreakPreview" topLeftCell="B1" zoomScale="110" zoomScaleNormal="70" zoomScaleSheetLayoutView="110" workbookViewId="0">
      <selection activeCell="B1" sqref="B1:B4"/>
    </sheetView>
  </sheetViews>
  <sheetFormatPr defaultRowHeight="15" x14ac:dyDescent="0.25"/>
  <cols>
    <col min="2" max="2" width="19.7109375" customWidth="1"/>
    <col min="3" max="3" width="55.85546875" customWidth="1"/>
    <col min="4" max="4" width="15" customWidth="1"/>
    <col min="5" max="5" width="5.42578125" customWidth="1"/>
    <col min="6" max="6" width="5.140625" customWidth="1"/>
    <col min="7" max="7" width="13.42578125" bestFit="1" customWidth="1"/>
    <col min="8" max="8" width="17.28515625" customWidth="1"/>
    <col min="9" max="9" width="16" customWidth="1"/>
    <col min="10" max="10" width="16.85546875" customWidth="1"/>
  </cols>
  <sheetData>
    <row r="1" spans="2:10" ht="15.75" x14ac:dyDescent="0.25">
      <c r="B1" s="123" t="s">
        <v>545</v>
      </c>
    </row>
    <row r="2" spans="2:10" ht="15.75" x14ac:dyDescent="0.25">
      <c r="B2" s="123" t="s">
        <v>544</v>
      </c>
    </row>
    <row r="3" spans="2:10" ht="15.75" x14ac:dyDescent="0.25">
      <c r="B3" s="123" t="s">
        <v>495</v>
      </c>
    </row>
    <row r="4" spans="2:10" ht="15.75" x14ac:dyDescent="0.25">
      <c r="B4" s="191" t="s">
        <v>496</v>
      </c>
    </row>
    <row r="8" spans="2:10" ht="21" x14ac:dyDescent="0.35">
      <c r="B8" s="246" t="s">
        <v>106</v>
      </c>
      <c r="C8" s="246"/>
      <c r="D8" s="246"/>
      <c r="E8" s="246"/>
      <c r="F8" s="246"/>
      <c r="G8" s="246"/>
      <c r="H8" s="246"/>
      <c r="I8" s="246"/>
      <c r="J8" s="246"/>
    </row>
    <row r="10" spans="2:10" ht="30" x14ac:dyDescent="0.25">
      <c r="B10" s="3" t="s">
        <v>107</v>
      </c>
      <c r="C10" s="247" t="s">
        <v>108</v>
      </c>
      <c r="D10" s="248"/>
      <c r="E10" s="248"/>
      <c r="F10" s="249"/>
      <c r="G10" s="3" t="s">
        <v>110</v>
      </c>
      <c r="H10" s="3" t="s">
        <v>111</v>
      </c>
      <c r="I10" s="3" t="s">
        <v>112</v>
      </c>
      <c r="J10" s="3" t="s">
        <v>109</v>
      </c>
    </row>
    <row r="12" spans="2:10" ht="27.75" customHeight="1" x14ac:dyDescent="0.25">
      <c r="B12" s="40" t="s">
        <v>95</v>
      </c>
      <c r="C12" s="244" t="s">
        <v>113</v>
      </c>
      <c r="D12" s="244"/>
      <c r="E12" s="244"/>
      <c r="F12" s="244"/>
      <c r="G12" s="40" t="s">
        <v>114</v>
      </c>
      <c r="H12" s="40"/>
      <c r="I12" s="40"/>
      <c r="J12" s="40"/>
    </row>
    <row r="13" spans="2:10" ht="27.75" customHeight="1" x14ac:dyDescent="0.25">
      <c r="B13" s="6"/>
      <c r="C13" s="234" t="s">
        <v>494</v>
      </c>
      <c r="D13" s="234"/>
      <c r="E13" s="234"/>
      <c r="F13" s="234"/>
      <c r="G13" s="6" t="s">
        <v>115</v>
      </c>
      <c r="H13" s="6"/>
      <c r="I13" s="6">
        <v>28977.599999999999</v>
      </c>
      <c r="J13" s="6"/>
    </row>
    <row r="14" spans="2:10" ht="27.75" customHeight="1" x14ac:dyDescent="0.25">
      <c r="B14" s="6"/>
      <c r="C14" s="234" t="s">
        <v>494</v>
      </c>
      <c r="D14" s="234"/>
      <c r="E14" s="234"/>
      <c r="F14" s="234"/>
      <c r="G14" s="6" t="s">
        <v>171</v>
      </c>
      <c r="H14" s="6"/>
      <c r="I14" s="6">
        <v>228679.8</v>
      </c>
      <c r="J14" s="6"/>
    </row>
    <row r="15" spans="2:10" ht="27.75" customHeight="1" x14ac:dyDescent="0.25">
      <c r="B15" s="6"/>
      <c r="C15" s="250" t="s">
        <v>117</v>
      </c>
      <c r="D15" s="251"/>
      <c r="E15" s="251"/>
      <c r="F15" s="252"/>
      <c r="G15" s="6" t="s">
        <v>120</v>
      </c>
      <c r="H15" s="6"/>
      <c r="I15" s="6">
        <v>7</v>
      </c>
      <c r="J15" s="6"/>
    </row>
    <row r="16" spans="2:10" ht="27.75" customHeight="1" x14ac:dyDescent="0.25">
      <c r="B16" s="6"/>
      <c r="C16" s="234" t="s">
        <v>357</v>
      </c>
      <c r="D16" s="234"/>
      <c r="E16" s="234"/>
      <c r="F16" s="234"/>
      <c r="G16" s="6" t="s">
        <v>358</v>
      </c>
      <c r="H16" s="6"/>
      <c r="I16" s="6">
        <v>125.26</v>
      </c>
      <c r="J16" s="6"/>
    </row>
    <row r="17" spans="2:10" ht="27.75" customHeight="1" x14ac:dyDescent="0.25">
      <c r="B17" s="6"/>
      <c r="C17" s="250" t="s">
        <v>116</v>
      </c>
      <c r="D17" s="251"/>
      <c r="E17" s="251"/>
      <c r="F17" s="252"/>
      <c r="G17" s="6" t="s">
        <v>121</v>
      </c>
      <c r="H17" s="6"/>
      <c r="I17" s="6">
        <v>48264</v>
      </c>
      <c r="J17" s="6"/>
    </row>
    <row r="18" spans="2:10" ht="27.75" customHeight="1" x14ac:dyDescent="0.25">
      <c r="B18" s="6"/>
      <c r="C18" s="250" t="s">
        <v>119</v>
      </c>
      <c r="D18" s="251"/>
      <c r="E18" s="251"/>
      <c r="F18" s="252"/>
      <c r="G18" s="6" t="s">
        <v>121</v>
      </c>
      <c r="H18" s="39">
        <v>0.71550000000000002</v>
      </c>
      <c r="I18" s="6">
        <f>H18*I17</f>
        <v>34532.892</v>
      </c>
      <c r="J18" s="6"/>
    </row>
    <row r="19" spans="2:10" ht="27.75" customHeight="1" x14ac:dyDescent="0.25">
      <c r="B19" s="6"/>
      <c r="C19" s="250" t="s">
        <v>118</v>
      </c>
      <c r="D19" s="251"/>
      <c r="E19" s="251"/>
      <c r="F19" s="252"/>
      <c r="G19" s="6" t="s">
        <v>121</v>
      </c>
      <c r="H19" s="39">
        <v>0.28449999999999998</v>
      </c>
      <c r="I19" s="6">
        <f>H19*I17</f>
        <v>13731.107999999998</v>
      </c>
      <c r="J19" s="6"/>
    </row>
    <row r="20" spans="2:10" ht="27.75" customHeight="1" x14ac:dyDescent="0.25">
      <c r="B20" s="6"/>
      <c r="C20" s="253"/>
      <c r="D20" s="253"/>
      <c r="E20" s="253"/>
      <c r="F20" s="253"/>
      <c r="G20" s="6"/>
      <c r="H20" s="6"/>
      <c r="I20" s="6"/>
      <c r="J20" s="6"/>
    </row>
    <row r="21" spans="2:10" x14ac:dyDescent="0.25">
      <c r="B21" s="40" t="s">
        <v>96</v>
      </c>
      <c r="C21" s="244" t="s">
        <v>122</v>
      </c>
      <c r="D21" s="244"/>
      <c r="E21" s="244"/>
      <c r="F21" s="244"/>
      <c r="G21" s="40" t="s">
        <v>114</v>
      </c>
      <c r="H21" s="40"/>
      <c r="I21" s="40"/>
      <c r="J21" s="40"/>
    </row>
    <row r="22" spans="2:10" x14ac:dyDescent="0.25">
      <c r="B22" s="6" t="s">
        <v>5</v>
      </c>
      <c r="C22" s="254" t="s">
        <v>123</v>
      </c>
      <c r="D22" s="254"/>
      <c r="E22" s="254"/>
      <c r="F22" s="254"/>
      <c r="G22" s="44" t="s">
        <v>147</v>
      </c>
      <c r="H22" s="6"/>
      <c r="I22" s="6">
        <v>36</v>
      </c>
      <c r="J22" s="6"/>
    </row>
    <row r="23" spans="2:10" x14ac:dyDescent="0.25">
      <c r="B23" s="6" t="s">
        <v>6</v>
      </c>
      <c r="C23" s="254" t="s">
        <v>124</v>
      </c>
      <c r="D23" s="254"/>
      <c r="E23" s="254"/>
      <c r="F23" s="254"/>
      <c r="G23" s="44" t="s">
        <v>148</v>
      </c>
      <c r="H23" s="6"/>
      <c r="I23" s="6">
        <v>8</v>
      </c>
      <c r="J23" s="6"/>
    </row>
    <row r="24" spans="2:10" x14ac:dyDescent="0.25">
      <c r="B24" s="6" t="s">
        <v>127</v>
      </c>
      <c r="C24" s="245" t="s">
        <v>125</v>
      </c>
      <c r="D24" s="245"/>
      <c r="E24" s="245"/>
      <c r="F24" s="245"/>
      <c r="G24" s="44" t="s">
        <v>114</v>
      </c>
      <c r="H24" s="6"/>
      <c r="I24" s="6">
        <f>I23*I22</f>
        <v>288</v>
      </c>
      <c r="J24" s="6"/>
    </row>
    <row r="25" spans="2:10" x14ac:dyDescent="0.25">
      <c r="B25" s="6" t="s">
        <v>128</v>
      </c>
      <c r="C25" s="245" t="s">
        <v>126</v>
      </c>
      <c r="D25" s="245"/>
      <c r="E25" s="245"/>
      <c r="F25" s="245"/>
      <c r="G25" s="44" t="s">
        <v>147</v>
      </c>
      <c r="H25" s="6"/>
      <c r="I25" s="6">
        <f>I13</f>
        <v>28977.599999999999</v>
      </c>
      <c r="J25" s="6"/>
    </row>
    <row r="26" spans="2:10" x14ac:dyDescent="0.25">
      <c r="B26" s="6" t="s">
        <v>129</v>
      </c>
      <c r="C26" s="245" t="s">
        <v>138</v>
      </c>
      <c r="D26" s="245"/>
      <c r="E26" s="245"/>
      <c r="F26" s="245"/>
      <c r="G26" s="44" t="s">
        <v>114</v>
      </c>
      <c r="H26" s="6"/>
      <c r="I26" s="6"/>
      <c r="J26" s="6"/>
    </row>
    <row r="27" spans="2:10" x14ac:dyDescent="0.25">
      <c r="B27" s="6" t="s">
        <v>130</v>
      </c>
      <c r="C27" s="240" t="s">
        <v>139</v>
      </c>
      <c r="D27" s="241"/>
      <c r="E27" s="241"/>
      <c r="F27" s="242"/>
      <c r="G27" s="44" t="s">
        <v>114</v>
      </c>
      <c r="H27" s="6"/>
      <c r="I27" s="6"/>
      <c r="J27" s="6"/>
    </row>
    <row r="28" spans="2:10" x14ac:dyDescent="0.25">
      <c r="B28" s="6" t="s">
        <v>131</v>
      </c>
      <c r="C28" s="240" t="s">
        <v>140</v>
      </c>
      <c r="D28" s="241"/>
      <c r="E28" s="241"/>
      <c r="F28" s="242"/>
      <c r="G28" s="44" t="s">
        <v>149</v>
      </c>
      <c r="H28" s="6"/>
      <c r="I28" s="6">
        <v>3</v>
      </c>
      <c r="J28" s="6"/>
    </row>
    <row r="29" spans="2:10" x14ac:dyDescent="0.25">
      <c r="B29" s="6" t="s">
        <v>132</v>
      </c>
      <c r="C29" s="240" t="s">
        <v>141</v>
      </c>
      <c r="D29" s="241"/>
      <c r="E29" s="241"/>
      <c r="F29" s="242"/>
      <c r="G29" s="44" t="s">
        <v>149</v>
      </c>
      <c r="H29" s="6"/>
      <c r="I29" s="6"/>
      <c r="J29" s="6"/>
    </row>
    <row r="30" spans="2:10" x14ac:dyDescent="0.25">
      <c r="B30" s="6" t="s">
        <v>133</v>
      </c>
      <c r="C30" s="240" t="s">
        <v>142</v>
      </c>
      <c r="D30" s="241"/>
      <c r="E30" s="241"/>
      <c r="F30" s="242"/>
      <c r="G30" s="44" t="s">
        <v>149</v>
      </c>
      <c r="H30" s="6"/>
      <c r="I30" s="6"/>
      <c r="J30" s="6"/>
    </row>
    <row r="31" spans="2:10" x14ac:dyDescent="0.25">
      <c r="B31" s="6" t="s">
        <v>134</v>
      </c>
      <c r="C31" s="240" t="s">
        <v>143</v>
      </c>
      <c r="D31" s="241"/>
      <c r="E31" s="241"/>
      <c r="F31" s="242"/>
      <c r="G31" s="44" t="s">
        <v>114</v>
      </c>
      <c r="H31" s="6"/>
      <c r="I31" s="6">
        <f>I25/I28</f>
        <v>9659.1999999999989</v>
      </c>
      <c r="J31" s="6"/>
    </row>
    <row r="32" spans="2:10" x14ac:dyDescent="0.25">
      <c r="B32" s="6" t="s">
        <v>135</v>
      </c>
      <c r="C32" s="240" t="s">
        <v>144</v>
      </c>
      <c r="D32" s="241"/>
      <c r="E32" s="241"/>
      <c r="F32" s="242"/>
      <c r="G32" s="44" t="s">
        <v>150</v>
      </c>
      <c r="H32" s="6"/>
      <c r="I32" s="45">
        <f>I31/I24</f>
        <v>33.538888888888884</v>
      </c>
      <c r="J32" s="6"/>
    </row>
    <row r="33" spans="2:10" x14ac:dyDescent="0.25">
      <c r="B33" s="6" t="s">
        <v>136</v>
      </c>
      <c r="C33" s="240" t="s">
        <v>145</v>
      </c>
      <c r="D33" s="241"/>
      <c r="E33" s="241"/>
      <c r="F33" s="242"/>
      <c r="G33" s="44" t="s">
        <v>151</v>
      </c>
      <c r="H33" s="6">
        <v>2</v>
      </c>
      <c r="I33" s="6">
        <v>15</v>
      </c>
      <c r="J33" s="6"/>
    </row>
    <row r="34" spans="2:10" x14ac:dyDescent="0.25">
      <c r="B34" s="6" t="s">
        <v>137</v>
      </c>
      <c r="C34" s="240" t="s">
        <v>146</v>
      </c>
      <c r="D34" s="241"/>
      <c r="E34" s="241"/>
      <c r="F34" s="242"/>
      <c r="G34" s="44" t="s">
        <v>152</v>
      </c>
      <c r="H34" s="6"/>
      <c r="I34" s="45">
        <v>30</v>
      </c>
      <c r="J34" s="6">
        <v>30</v>
      </c>
    </row>
    <row r="35" spans="2:10" x14ac:dyDescent="0.25">
      <c r="B35" s="38"/>
      <c r="C35" s="41"/>
      <c r="D35" s="41"/>
      <c r="E35" s="41"/>
      <c r="F35" s="41"/>
      <c r="G35" s="38"/>
      <c r="H35" s="38"/>
      <c r="I35" s="38"/>
      <c r="J35" s="38"/>
    </row>
    <row r="36" spans="2:10" x14ac:dyDescent="0.25">
      <c r="B36" s="40" t="s">
        <v>97</v>
      </c>
      <c r="C36" s="244" t="s">
        <v>153</v>
      </c>
      <c r="D36" s="244"/>
      <c r="E36" s="244"/>
      <c r="F36" s="244"/>
      <c r="G36" s="40"/>
      <c r="H36" s="40"/>
      <c r="I36" s="40"/>
      <c r="J36" s="40"/>
    </row>
    <row r="37" spans="2:10" x14ac:dyDescent="0.25">
      <c r="B37" s="6" t="s">
        <v>7</v>
      </c>
      <c r="C37" s="235" t="s">
        <v>154</v>
      </c>
      <c r="D37" s="235"/>
      <c r="E37" s="235"/>
      <c r="F37" s="235"/>
      <c r="G37" s="44" t="s">
        <v>114</v>
      </c>
      <c r="H37" s="6"/>
      <c r="I37" s="6"/>
      <c r="J37" s="6"/>
    </row>
    <row r="38" spans="2:10" x14ac:dyDescent="0.25">
      <c r="B38" s="6" t="s">
        <v>8</v>
      </c>
      <c r="C38" s="235" t="s">
        <v>155</v>
      </c>
      <c r="D38" s="235"/>
      <c r="E38" s="235"/>
      <c r="F38" s="235"/>
      <c r="G38" s="44" t="s">
        <v>114</v>
      </c>
      <c r="H38" s="6">
        <v>2</v>
      </c>
      <c r="I38" s="6">
        <f>I13</f>
        <v>28977.599999999999</v>
      </c>
      <c r="J38" s="6">
        <f>I38*H38</f>
        <v>57955.199999999997</v>
      </c>
    </row>
    <row r="39" spans="2:10" x14ac:dyDescent="0.25">
      <c r="B39" s="6" t="s">
        <v>9</v>
      </c>
      <c r="C39" s="235" t="s">
        <v>156</v>
      </c>
      <c r="D39" s="235"/>
      <c r="E39" s="235"/>
      <c r="F39" s="235"/>
      <c r="G39" s="44" t="s">
        <v>171</v>
      </c>
      <c r="H39" s="6"/>
      <c r="I39" s="6">
        <v>0.45</v>
      </c>
      <c r="J39" s="6"/>
    </row>
    <row r="40" spans="2:10" x14ac:dyDescent="0.25">
      <c r="B40" s="6" t="s">
        <v>164</v>
      </c>
      <c r="C40" s="235" t="s">
        <v>157</v>
      </c>
      <c r="D40" s="235"/>
      <c r="E40" s="235"/>
      <c r="F40" s="235"/>
      <c r="G40" s="44" t="s">
        <v>172</v>
      </c>
      <c r="H40" s="6"/>
      <c r="I40" s="6">
        <f>I39*J38</f>
        <v>26079.84</v>
      </c>
      <c r="J40" s="6"/>
    </row>
    <row r="41" spans="2:10" x14ac:dyDescent="0.25">
      <c r="B41" s="6" t="s">
        <v>165</v>
      </c>
      <c r="C41" s="235" t="s">
        <v>158</v>
      </c>
      <c r="D41" s="235"/>
      <c r="E41" s="235"/>
      <c r="F41" s="235"/>
      <c r="G41" s="44" t="s">
        <v>172</v>
      </c>
      <c r="H41" s="6"/>
      <c r="I41" s="6">
        <v>100</v>
      </c>
      <c r="J41" s="6"/>
    </row>
    <row r="42" spans="2:10" x14ac:dyDescent="0.25">
      <c r="B42" s="6" t="s">
        <v>166</v>
      </c>
      <c r="C42" s="235" t="s">
        <v>159</v>
      </c>
      <c r="D42" s="235"/>
      <c r="E42" s="235"/>
      <c r="F42" s="235"/>
      <c r="G42" s="44" t="s">
        <v>175</v>
      </c>
      <c r="H42" s="6"/>
      <c r="I42" s="6">
        <v>90</v>
      </c>
      <c r="J42" s="6"/>
    </row>
    <row r="43" spans="2:10" x14ac:dyDescent="0.25">
      <c r="B43" s="6" t="s">
        <v>167</v>
      </c>
      <c r="C43" s="235" t="s">
        <v>160</v>
      </c>
      <c r="D43" s="235"/>
      <c r="E43" s="235"/>
      <c r="F43" s="235"/>
      <c r="G43" s="44" t="s">
        <v>174</v>
      </c>
      <c r="H43" s="6">
        <v>4</v>
      </c>
      <c r="I43" s="6">
        <f>I40/12</f>
        <v>2173.3200000000002</v>
      </c>
      <c r="J43" s="6">
        <f>I43*H43</f>
        <v>8693.2800000000007</v>
      </c>
    </row>
    <row r="44" spans="2:10" x14ac:dyDescent="0.25">
      <c r="B44" s="6" t="s">
        <v>168</v>
      </c>
      <c r="C44" s="235" t="s">
        <v>161</v>
      </c>
      <c r="D44" s="235"/>
      <c r="E44" s="235"/>
      <c r="F44" s="235"/>
      <c r="G44" s="44" t="s">
        <v>173</v>
      </c>
      <c r="H44" s="6">
        <v>44</v>
      </c>
      <c r="I44" s="6">
        <f>H44*I41/8</f>
        <v>550</v>
      </c>
      <c r="J44" s="6"/>
    </row>
    <row r="45" spans="2:10" x14ac:dyDescent="0.25">
      <c r="B45" s="6" t="s">
        <v>169</v>
      </c>
      <c r="C45" s="235" t="s">
        <v>162</v>
      </c>
      <c r="D45" s="235"/>
      <c r="E45" s="235"/>
      <c r="F45" s="235"/>
      <c r="G45" s="44" t="s">
        <v>150</v>
      </c>
      <c r="H45" s="6">
        <v>4.3</v>
      </c>
      <c r="I45" s="6">
        <f>H45*I44</f>
        <v>2365</v>
      </c>
      <c r="J45" s="6"/>
    </row>
    <row r="46" spans="2:10" x14ac:dyDescent="0.25">
      <c r="B46" s="6" t="s">
        <v>170</v>
      </c>
      <c r="C46" s="235" t="s">
        <v>163</v>
      </c>
      <c r="D46" s="235"/>
      <c r="E46" s="235"/>
      <c r="F46" s="235"/>
      <c r="G46" s="6"/>
      <c r="H46" s="6"/>
      <c r="I46" s="45">
        <f>J43/I45</f>
        <v>3.6758054968287528</v>
      </c>
      <c r="J46" s="45">
        <v>4</v>
      </c>
    </row>
    <row r="47" spans="2:10" x14ac:dyDescent="0.25">
      <c r="B47" s="38"/>
      <c r="C47" s="41"/>
      <c r="D47" s="41"/>
      <c r="E47" s="41"/>
      <c r="F47" s="41"/>
      <c r="G47" s="38"/>
      <c r="H47" s="38"/>
      <c r="I47" s="38"/>
      <c r="J47" s="38"/>
    </row>
    <row r="48" spans="2:10" x14ac:dyDescent="0.25">
      <c r="B48" s="40" t="s">
        <v>98</v>
      </c>
      <c r="C48" s="244" t="s">
        <v>176</v>
      </c>
      <c r="D48" s="244"/>
      <c r="E48" s="244"/>
      <c r="F48" s="244"/>
      <c r="G48" s="40"/>
      <c r="H48" s="40"/>
      <c r="I48" s="40"/>
      <c r="J48" s="40"/>
    </row>
    <row r="49" spans="2:10" x14ac:dyDescent="0.25">
      <c r="B49" s="6" t="s">
        <v>10</v>
      </c>
      <c r="C49" s="235" t="s">
        <v>177</v>
      </c>
      <c r="D49" s="235"/>
      <c r="E49" s="235"/>
      <c r="F49" s="235"/>
      <c r="G49" s="44" t="s">
        <v>188</v>
      </c>
      <c r="H49" s="6"/>
      <c r="I49" s="6">
        <v>1100</v>
      </c>
      <c r="J49" s="6"/>
    </row>
    <row r="50" spans="2:10" x14ac:dyDescent="0.25">
      <c r="B50" s="6" t="s">
        <v>11</v>
      </c>
      <c r="C50" s="235" t="s">
        <v>178</v>
      </c>
      <c r="D50" s="235"/>
      <c r="E50" s="235"/>
      <c r="F50" s="235"/>
      <c r="G50" s="44" t="s">
        <v>189</v>
      </c>
      <c r="H50" s="6"/>
      <c r="I50" s="6">
        <v>90</v>
      </c>
      <c r="J50" s="6">
        <f>I50*H50</f>
        <v>0</v>
      </c>
    </row>
    <row r="51" spans="2:10" x14ac:dyDescent="0.25">
      <c r="B51" s="6" t="s">
        <v>12</v>
      </c>
      <c r="C51" s="235" t="s">
        <v>179</v>
      </c>
      <c r="D51" s="235"/>
      <c r="E51" s="235"/>
      <c r="F51" s="235"/>
      <c r="G51" s="44" t="s">
        <v>114</v>
      </c>
      <c r="H51" s="6">
        <v>5.5</v>
      </c>
      <c r="I51" s="6">
        <f>I13*H51</f>
        <v>159376.79999999999</v>
      </c>
      <c r="J51" s="6"/>
    </row>
    <row r="52" spans="2:10" x14ac:dyDescent="0.25">
      <c r="B52" s="6" t="s">
        <v>13</v>
      </c>
      <c r="C52" s="235" t="s">
        <v>180</v>
      </c>
      <c r="D52" s="235"/>
      <c r="E52" s="235"/>
      <c r="F52" s="235"/>
      <c r="G52" s="44" t="s">
        <v>114</v>
      </c>
      <c r="H52" s="6"/>
      <c r="I52" s="6">
        <f>(I44*3)/0.3</f>
        <v>5500</v>
      </c>
      <c r="J52" s="6"/>
    </row>
    <row r="53" spans="2:10" x14ac:dyDescent="0.25">
      <c r="B53" s="6" t="s">
        <v>14</v>
      </c>
      <c r="C53" s="235" t="s">
        <v>181</v>
      </c>
      <c r="D53" s="235"/>
      <c r="E53" s="235"/>
      <c r="F53" s="235"/>
      <c r="G53" s="44" t="s">
        <v>114</v>
      </c>
      <c r="H53" s="6"/>
      <c r="I53" s="6">
        <f>I52+I51</f>
        <v>164876.79999999999</v>
      </c>
      <c r="J53" s="6"/>
    </row>
    <row r="54" spans="2:10" x14ac:dyDescent="0.25">
      <c r="B54" s="6" t="s">
        <v>15</v>
      </c>
      <c r="C54" s="235" t="s">
        <v>182</v>
      </c>
      <c r="D54" s="235"/>
      <c r="E54" s="235"/>
      <c r="F54" s="235"/>
      <c r="G54" s="44" t="s">
        <v>190</v>
      </c>
      <c r="H54" s="6">
        <v>1000</v>
      </c>
      <c r="I54" s="6">
        <f>(I53*I50)/H54</f>
        <v>14838.911999999998</v>
      </c>
      <c r="J54" s="6"/>
    </row>
    <row r="55" spans="2:10" x14ac:dyDescent="0.25">
      <c r="B55" s="6" t="s">
        <v>193</v>
      </c>
      <c r="C55" s="235" t="s">
        <v>183</v>
      </c>
      <c r="D55" s="235"/>
      <c r="E55" s="235"/>
      <c r="F55" s="235"/>
      <c r="G55" s="44" t="s">
        <v>191</v>
      </c>
      <c r="H55" s="6"/>
      <c r="I55" s="6">
        <f>I54/I49</f>
        <v>13.489919999999998</v>
      </c>
      <c r="J55" s="6"/>
    </row>
    <row r="56" spans="2:10" x14ac:dyDescent="0.25">
      <c r="B56" s="6" t="s">
        <v>194</v>
      </c>
      <c r="C56" s="235" t="s">
        <v>184</v>
      </c>
      <c r="D56" s="235"/>
      <c r="E56" s="235"/>
      <c r="F56" s="235"/>
      <c r="G56" s="44" t="s">
        <v>191</v>
      </c>
      <c r="H56" s="6">
        <v>4.3</v>
      </c>
      <c r="I56" s="6">
        <f>I55*H56</f>
        <v>58.006655999999985</v>
      </c>
      <c r="J56" s="6"/>
    </row>
    <row r="57" spans="2:10" x14ac:dyDescent="0.25">
      <c r="B57" s="6" t="s">
        <v>195</v>
      </c>
      <c r="C57" s="235" t="s">
        <v>185</v>
      </c>
      <c r="D57" s="235"/>
      <c r="E57" s="235"/>
      <c r="F57" s="235"/>
      <c r="G57" s="44" t="s">
        <v>191</v>
      </c>
      <c r="H57" s="6">
        <v>3</v>
      </c>
      <c r="I57" s="6">
        <v>6</v>
      </c>
      <c r="J57" s="6"/>
    </row>
    <row r="58" spans="2:10" x14ac:dyDescent="0.25">
      <c r="B58" s="6" t="s">
        <v>196</v>
      </c>
      <c r="C58" s="235" t="s">
        <v>186</v>
      </c>
      <c r="D58" s="235"/>
      <c r="E58" s="235"/>
      <c r="F58" s="235"/>
      <c r="G58" s="44" t="s">
        <v>192</v>
      </c>
      <c r="H58" s="6"/>
      <c r="I58" s="45">
        <f>I56/I57</f>
        <v>9.6677759999999981</v>
      </c>
      <c r="J58" s="6"/>
    </row>
    <row r="59" spans="2:10" x14ac:dyDescent="0.25">
      <c r="B59" s="6" t="s">
        <v>197</v>
      </c>
      <c r="C59" s="235" t="s">
        <v>187</v>
      </c>
      <c r="D59" s="235"/>
      <c r="E59" s="235"/>
      <c r="F59" s="235"/>
      <c r="G59" s="44" t="s">
        <v>192</v>
      </c>
      <c r="H59" s="6"/>
      <c r="I59" s="6">
        <f>I58/23.65</f>
        <v>0.40878545454545451</v>
      </c>
      <c r="J59" s="45">
        <f>I59</f>
        <v>0.40878545454545451</v>
      </c>
    </row>
    <row r="60" spans="2:10" x14ac:dyDescent="0.25">
      <c r="B60" s="38"/>
      <c r="C60" s="41"/>
      <c r="D60" s="41"/>
      <c r="E60" s="41"/>
      <c r="F60" s="41"/>
      <c r="G60" s="38"/>
      <c r="H60" s="38"/>
      <c r="I60" s="38"/>
      <c r="J60" s="38"/>
    </row>
    <row r="61" spans="2:10" x14ac:dyDescent="0.25">
      <c r="B61" s="40" t="s">
        <v>99</v>
      </c>
      <c r="C61" s="236" t="s">
        <v>215</v>
      </c>
      <c r="D61" s="236"/>
      <c r="E61" s="236"/>
      <c r="F61" s="236"/>
      <c r="G61" s="40"/>
      <c r="H61" s="40"/>
      <c r="I61" s="40"/>
      <c r="J61" s="40"/>
    </row>
    <row r="62" spans="2:10" x14ac:dyDescent="0.25">
      <c r="B62" s="46" t="s">
        <v>16</v>
      </c>
      <c r="C62" s="235" t="s">
        <v>216</v>
      </c>
      <c r="D62" s="235"/>
      <c r="E62" s="235"/>
      <c r="F62" s="235"/>
      <c r="G62" s="47" t="s">
        <v>149</v>
      </c>
      <c r="H62" s="6"/>
      <c r="I62" s="6">
        <v>182</v>
      </c>
      <c r="J62" s="6"/>
    </row>
    <row r="63" spans="2:10" x14ac:dyDescent="0.25">
      <c r="B63" s="46" t="s">
        <v>17</v>
      </c>
      <c r="C63" s="235" t="s">
        <v>200</v>
      </c>
      <c r="D63" s="235"/>
      <c r="E63" s="235"/>
      <c r="F63" s="235"/>
      <c r="G63" s="47" t="s">
        <v>114</v>
      </c>
      <c r="H63" s="6">
        <v>0.8</v>
      </c>
      <c r="I63" s="6">
        <f>H63*I13</f>
        <v>23182.080000000002</v>
      </c>
      <c r="J63" s="6"/>
    </row>
    <row r="64" spans="2:10" x14ac:dyDescent="0.25">
      <c r="B64" s="46" t="s">
        <v>18</v>
      </c>
      <c r="C64" s="235" t="s">
        <v>217</v>
      </c>
      <c r="D64" s="235"/>
      <c r="E64" s="235"/>
      <c r="F64" s="235"/>
      <c r="G64" s="47" t="s">
        <v>224</v>
      </c>
      <c r="H64" s="6"/>
      <c r="I64" s="6">
        <v>5</v>
      </c>
      <c r="J64" s="6"/>
    </row>
    <row r="65" spans="2:10" x14ac:dyDescent="0.25">
      <c r="B65" s="46" t="s">
        <v>209</v>
      </c>
      <c r="C65" s="235" t="s">
        <v>218</v>
      </c>
      <c r="D65" s="235"/>
      <c r="E65" s="235"/>
      <c r="F65" s="235"/>
      <c r="G65" s="47" t="s">
        <v>114</v>
      </c>
      <c r="H65" s="6"/>
      <c r="I65" s="6">
        <v>15</v>
      </c>
      <c r="J65" s="6"/>
    </row>
    <row r="66" spans="2:10" x14ac:dyDescent="0.25">
      <c r="B66" s="46" t="s">
        <v>210</v>
      </c>
      <c r="C66" s="235" t="s">
        <v>219</v>
      </c>
      <c r="D66" s="235"/>
      <c r="E66" s="235"/>
      <c r="F66" s="235"/>
      <c r="G66" s="47" t="s">
        <v>114</v>
      </c>
      <c r="H66" s="6"/>
      <c r="I66" s="6">
        <v>172</v>
      </c>
      <c r="J66" s="6"/>
    </row>
    <row r="67" spans="2:10" x14ac:dyDescent="0.25">
      <c r="B67" s="46" t="s">
        <v>211</v>
      </c>
      <c r="C67" s="235" t="s">
        <v>220</v>
      </c>
      <c r="D67" s="235"/>
      <c r="E67" s="235"/>
      <c r="F67" s="235"/>
      <c r="G67" s="47" t="s">
        <v>114</v>
      </c>
      <c r="H67" s="6">
        <v>5.5</v>
      </c>
      <c r="I67" s="6">
        <f>I66*H67</f>
        <v>946</v>
      </c>
      <c r="J67" s="6"/>
    </row>
    <row r="68" spans="2:10" x14ac:dyDescent="0.25">
      <c r="B68" s="46" t="s">
        <v>212</v>
      </c>
      <c r="C68" s="235" t="s">
        <v>221</v>
      </c>
      <c r="D68" s="235"/>
      <c r="E68" s="235"/>
      <c r="F68" s="235"/>
      <c r="G68" s="47" t="s">
        <v>114</v>
      </c>
      <c r="H68" s="6">
        <v>4.3</v>
      </c>
      <c r="I68" s="6">
        <f>I66/H68</f>
        <v>40</v>
      </c>
      <c r="J68" s="45">
        <f>I68</f>
        <v>40</v>
      </c>
    </row>
    <row r="69" spans="2:10" x14ac:dyDescent="0.25">
      <c r="B69" s="46" t="s">
        <v>213</v>
      </c>
      <c r="C69" s="235" t="s">
        <v>222</v>
      </c>
      <c r="D69" s="235"/>
      <c r="E69" s="235"/>
      <c r="F69" s="235"/>
      <c r="G69" s="47" t="s">
        <v>114</v>
      </c>
      <c r="H69" s="6"/>
      <c r="I69" s="6">
        <f>I63/I62</f>
        <v>127.37406593406594</v>
      </c>
      <c r="J69" s="6"/>
    </row>
    <row r="70" spans="2:10" x14ac:dyDescent="0.25">
      <c r="B70" s="46" t="s">
        <v>214</v>
      </c>
      <c r="C70" s="235" t="s">
        <v>223</v>
      </c>
      <c r="D70" s="235"/>
      <c r="E70" s="235"/>
      <c r="F70" s="235"/>
      <c r="G70" s="47" t="s">
        <v>152</v>
      </c>
      <c r="H70" s="6"/>
      <c r="I70" s="45">
        <f>I69/I66</f>
        <v>0.74054689496549964</v>
      </c>
      <c r="J70" s="45">
        <v>1</v>
      </c>
    </row>
    <row r="71" spans="2:10" x14ac:dyDescent="0.25">
      <c r="C71" s="42"/>
      <c r="D71" s="42"/>
      <c r="E71" s="42"/>
      <c r="F71" s="42"/>
    </row>
    <row r="72" spans="2:10" x14ac:dyDescent="0.25">
      <c r="B72" s="40" t="s">
        <v>100</v>
      </c>
      <c r="C72" s="236" t="s">
        <v>198</v>
      </c>
      <c r="D72" s="236"/>
      <c r="E72" s="236"/>
      <c r="F72" s="236"/>
      <c r="G72" s="40"/>
      <c r="H72" s="40"/>
      <c r="I72" s="40"/>
      <c r="J72" s="40"/>
    </row>
    <row r="73" spans="2:10" x14ac:dyDescent="0.25">
      <c r="B73" s="6" t="s">
        <v>19</v>
      </c>
      <c r="C73" s="235" t="s">
        <v>199</v>
      </c>
      <c r="D73" s="235"/>
      <c r="E73" s="235"/>
      <c r="F73" s="235"/>
      <c r="G73" s="44" t="s">
        <v>189</v>
      </c>
      <c r="H73" s="6"/>
      <c r="I73" s="6">
        <v>190</v>
      </c>
      <c r="J73" s="6"/>
    </row>
    <row r="74" spans="2:10" x14ac:dyDescent="0.25">
      <c r="B74" s="6" t="s">
        <v>20</v>
      </c>
      <c r="C74" s="235" t="s">
        <v>200</v>
      </c>
      <c r="D74" s="235"/>
      <c r="E74" s="235"/>
      <c r="F74" s="235"/>
      <c r="G74" s="44" t="s">
        <v>114</v>
      </c>
      <c r="H74" s="6">
        <v>0.8</v>
      </c>
      <c r="I74" s="6">
        <f>H74*I13</f>
        <v>23182.080000000002</v>
      </c>
      <c r="J74" s="6"/>
    </row>
    <row r="75" spans="2:10" x14ac:dyDescent="0.25">
      <c r="B75" s="6" t="s">
        <v>225</v>
      </c>
      <c r="C75" s="235" t="s">
        <v>201</v>
      </c>
      <c r="D75" s="235"/>
      <c r="E75" s="235"/>
      <c r="F75" s="235"/>
      <c r="G75" s="44" t="s">
        <v>188</v>
      </c>
      <c r="H75" s="6"/>
      <c r="I75" s="6">
        <v>1100</v>
      </c>
      <c r="J75" s="6"/>
    </row>
    <row r="76" spans="2:10" x14ac:dyDescent="0.25">
      <c r="B76" s="6" t="s">
        <v>226</v>
      </c>
      <c r="C76" s="235" t="s">
        <v>202</v>
      </c>
      <c r="D76" s="235"/>
      <c r="E76" s="235"/>
      <c r="F76" s="235"/>
      <c r="G76" s="44" t="s">
        <v>120</v>
      </c>
      <c r="H76" s="6">
        <v>1000</v>
      </c>
      <c r="I76" s="6">
        <f>I74/H76</f>
        <v>23.182080000000003</v>
      </c>
      <c r="J76" s="4"/>
    </row>
    <row r="77" spans="2:10" x14ac:dyDescent="0.25">
      <c r="B77" s="6" t="s">
        <v>227</v>
      </c>
      <c r="C77" s="235" t="s">
        <v>203</v>
      </c>
      <c r="D77" s="235"/>
      <c r="E77" s="235"/>
      <c r="F77" s="235"/>
      <c r="G77" s="44" t="s">
        <v>120</v>
      </c>
      <c r="H77" s="6"/>
      <c r="I77" s="6">
        <v>15</v>
      </c>
      <c r="J77" s="4"/>
    </row>
    <row r="78" spans="2:10" x14ac:dyDescent="0.25">
      <c r="B78" s="6" t="s">
        <v>228</v>
      </c>
      <c r="C78" s="235" t="s">
        <v>204</v>
      </c>
      <c r="D78" s="235"/>
      <c r="E78" s="235"/>
      <c r="F78" s="235"/>
      <c r="G78" s="44" t="s">
        <v>120</v>
      </c>
      <c r="H78" s="6"/>
      <c r="I78" s="6">
        <f>I77+I76</f>
        <v>38.182079999999999</v>
      </c>
      <c r="J78" s="4"/>
    </row>
    <row r="79" spans="2:10" x14ac:dyDescent="0.25">
      <c r="B79" s="6" t="s">
        <v>229</v>
      </c>
      <c r="C79" s="235" t="s">
        <v>205</v>
      </c>
      <c r="D79" s="235"/>
      <c r="E79" s="235"/>
      <c r="F79" s="235"/>
      <c r="G79" s="44" t="s">
        <v>190</v>
      </c>
      <c r="H79" s="6"/>
      <c r="I79" s="6">
        <f>I78*I73</f>
        <v>7254.5951999999997</v>
      </c>
      <c r="J79" s="4"/>
    </row>
    <row r="80" spans="2:10" x14ac:dyDescent="0.25">
      <c r="B80" s="6" t="s">
        <v>230</v>
      </c>
      <c r="C80" s="235" t="s">
        <v>206</v>
      </c>
      <c r="D80" s="235"/>
      <c r="E80" s="235"/>
      <c r="F80" s="235"/>
      <c r="G80" s="44" t="s">
        <v>191</v>
      </c>
      <c r="H80" s="6"/>
      <c r="I80" s="6">
        <f>I79/I75</f>
        <v>6.5950865454545449</v>
      </c>
      <c r="J80" s="4"/>
    </row>
    <row r="81" spans="2:10" x14ac:dyDescent="0.25">
      <c r="B81" s="6" t="s">
        <v>231</v>
      </c>
      <c r="C81" s="235" t="s">
        <v>207</v>
      </c>
      <c r="D81" s="235"/>
      <c r="E81" s="235"/>
      <c r="F81" s="235"/>
      <c r="G81" s="44" t="s">
        <v>192</v>
      </c>
      <c r="H81" s="6">
        <v>6</v>
      </c>
      <c r="I81" s="6">
        <f>I80/H81</f>
        <v>1.0991810909090909</v>
      </c>
      <c r="J81" s="4"/>
    </row>
    <row r="82" spans="2:10" x14ac:dyDescent="0.25">
      <c r="B82" s="6" t="s">
        <v>232</v>
      </c>
      <c r="C82" s="235" t="s">
        <v>208</v>
      </c>
      <c r="D82" s="235"/>
      <c r="E82" s="235"/>
      <c r="F82" s="235"/>
      <c r="G82" s="44" t="s">
        <v>192</v>
      </c>
      <c r="H82" s="6">
        <v>23.65</v>
      </c>
      <c r="I82" s="6">
        <f>I81/H82</f>
        <v>4.6477001729771289E-2</v>
      </c>
      <c r="J82" s="49">
        <f>I82</f>
        <v>4.6477001729771289E-2</v>
      </c>
    </row>
    <row r="83" spans="2:10" x14ac:dyDescent="0.25">
      <c r="C83" s="42"/>
      <c r="D83" s="42"/>
      <c r="E83" s="42"/>
      <c r="F83" s="42"/>
    </row>
    <row r="84" spans="2:10" x14ac:dyDescent="0.25">
      <c r="B84" s="40" t="s">
        <v>101</v>
      </c>
      <c r="C84" s="236" t="s">
        <v>233</v>
      </c>
      <c r="D84" s="236"/>
      <c r="E84" s="236"/>
      <c r="F84" s="236"/>
      <c r="G84" s="40"/>
      <c r="H84" s="40"/>
      <c r="I84" s="40"/>
      <c r="J84" s="40"/>
    </row>
    <row r="85" spans="2:10" x14ac:dyDescent="0.25">
      <c r="B85" s="6" t="s">
        <v>21</v>
      </c>
      <c r="C85" s="235" t="s">
        <v>234</v>
      </c>
      <c r="D85" s="235"/>
      <c r="E85" s="235"/>
      <c r="F85" s="235"/>
      <c r="G85" s="44" t="s">
        <v>121</v>
      </c>
      <c r="H85" s="6"/>
      <c r="I85" s="6">
        <f>I18</f>
        <v>34532.892</v>
      </c>
      <c r="J85" s="6"/>
    </row>
    <row r="86" spans="2:10" x14ac:dyDescent="0.25">
      <c r="B86" s="6" t="s">
        <v>22</v>
      </c>
      <c r="C86" s="235" t="s">
        <v>235</v>
      </c>
      <c r="D86" s="235"/>
      <c r="E86" s="235"/>
      <c r="F86" s="235"/>
      <c r="G86" s="44" t="s">
        <v>241</v>
      </c>
      <c r="H86" s="6"/>
      <c r="I86" s="6">
        <v>918</v>
      </c>
      <c r="J86" s="6"/>
    </row>
    <row r="87" spans="2:10" x14ac:dyDescent="0.25">
      <c r="B87" s="6" t="s">
        <v>23</v>
      </c>
      <c r="C87" s="235" t="s">
        <v>236</v>
      </c>
      <c r="D87" s="235"/>
      <c r="E87" s="235"/>
      <c r="F87" s="235"/>
      <c r="G87" s="44" t="s">
        <v>188</v>
      </c>
      <c r="H87" s="6"/>
      <c r="I87" s="6">
        <v>300</v>
      </c>
      <c r="J87" s="6"/>
    </row>
    <row r="88" spans="2:10" x14ac:dyDescent="0.25">
      <c r="B88" s="6" t="s">
        <v>24</v>
      </c>
      <c r="C88" s="235" t="s">
        <v>237</v>
      </c>
      <c r="D88" s="235"/>
      <c r="E88" s="235"/>
      <c r="F88" s="235"/>
      <c r="G88" s="44" t="s">
        <v>242</v>
      </c>
      <c r="H88" s="6">
        <f>I86/1000</f>
        <v>0.91800000000000004</v>
      </c>
      <c r="I88" s="6">
        <f>I85*H88*30</f>
        <v>951035.84568000003</v>
      </c>
      <c r="J88" s="6"/>
    </row>
    <row r="89" spans="2:10" x14ac:dyDescent="0.25">
      <c r="B89" s="6" t="s">
        <v>25</v>
      </c>
      <c r="C89" s="235" t="s">
        <v>237</v>
      </c>
      <c r="D89" s="235"/>
      <c r="E89" s="235"/>
      <c r="F89" s="235"/>
      <c r="G89" s="44" t="s">
        <v>243</v>
      </c>
      <c r="H89" s="6"/>
      <c r="I89" s="6">
        <f>I88/1000</f>
        <v>951.03584568000008</v>
      </c>
      <c r="J89" s="6"/>
    </row>
    <row r="90" spans="2:10" x14ac:dyDescent="0.25">
      <c r="B90" s="6" t="s">
        <v>26</v>
      </c>
      <c r="C90" s="235" t="s">
        <v>238</v>
      </c>
      <c r="D90" s="235"/>
      <c r="E90" s="235"/>
      <c r="F90" s="235"/>
      <c r="G90" s="44" t="s">
        <v>191</v>
      </c>
      <c r="H90" s="6"/>
      <c r="I90" s="6">
        <f>I88/I87</f>
        <v>3170.1194856000002</v>
      </c>
      <c r="J90" s="6"/>
    </row>
    <row r="91" spans="2:10" x14ac:dyDescent="0.25">
      <c r="B91" s="6" t="s">
        <v>27</v>
      </c>
      <c r="C91" s="235" t="s">
        <v>239</v>
      </c>
      <c r="D91" s="235"/>
      <c r="E91" s="235"/>
      <c r="F91" s="235"/>
      <c r="G91" s="44" t="s">
        <v>191</v>
      </c>
      <c r="H91" s="6">
        <v>4.3</v>
      </c>
      <c r="I91" s="6">
        <f>I90/H91</f>
        <v>737.23708967441871</v>
      </c>
      <c r="J91" s="6"/>
    </row>
    <row r="92" spans="2:10" x14ac:dyDescent="0.25">
      <c r="B92" s="6" t="s">
        <v>28</v>
      </c>
      <c r="C92" s="243" t="s">
        <v>240</v>
      </c>
      <c r="D92" s="243"/>
      <c r="E92" s="243"/>
      <c r="F92" s="243"/>
      <c r="G92" s="44" t="s">
        <v>243</v>
      </c>
      <c r="H92" s="6"/>
      <c r="I92" s="38">
        <v>8</v>
      </c>
      <c r="J92" s="6"/>
    </row>
    <row r="93" spans="2:10" x14ac:dyDescent="0.25">
      <c r="B93" s="50" t="s">
        <v>244</v>
      </c>
      <c r="C93" s="235" t="s">
        <v>245</v>
      </c>
      <c r="D93" s="235"/>
      <c r="E93" s="235"/>
      <c r="F93" s="235"/>
      <c r="G93" s="44" t="s">
        <v>190</v>
      </c>
      <c r="H93" s="6"/>
      <c r="I93" s="6">
        <f>I91*I87</f>
        <v>221171.1269023256</v>
      </c>
      <c r="J93" s="6"/>
    </row>
    <row r="94" spans="2:10" x14ac:dyDescent="0.25">
      <c r="B94" s="50" t="s">
        <v>248</v>
      </c>
      <c r="C94" s="235" t="s">
        <v>245</v>
      </c>
      <c r="D94" s="235"/>
      <c r="E94" s="235"/>
      <c r="F94" s="235"/>
      <c r="G94" s="44" t="s">
        <v>243</v>
      </c>
      <c r="H94" s="4"/>
      <c r="I94" s="48">
        <f>I93/1000</f>
        <v>221.1711269023256</v>
      </c>
      <c r="J94" s="6"/>
    </row>
    <row r="95" spans="2:10" x14ac:dyDescent="0.25">
      <c r="B95" s="50" t="s">
        <v>249</v>
      </c>
      <c r="C95" s="235" t="s">
        <v>246</v>
      </c>
      <c r="D95" s="235"/>
      <c r="E95" s="235"/>
      <c r="F95" s="235"/>
      <c r="G95" s="44" t="s">
        <v>243</v>
      </c>
      <c r="H95" s="6">
        <v>5.5</v>
      </c>
      <c r="I95" s="6">
        <f>I92*H95*2</f>
        <v>88</v>
      </c>
      <c r="J95" s="6"/>
    </row>
    <row r="96" spans="2:10" x14ac:dyDescent="0.25">
      <c r="B96" s="50" t="s">
        <v>250</v>
      </c>
      <c r="C96" s="235" t="s">
        <v>247</v>
      </c>
      <c r="D96" s="235"/>
      <c r="E96" s="235"/>
      <c r="F96" s="235"/>
      <c r="G96" s="44" t="s">
        <v>150</v>
      </c>
      <c r="H96" s="6"/>
      <c r="I96" s="45">
        <f>I94/I95</f>
        <v>2.5133082602536998</v>
      </c>
      <c r="J96" s="45">
        <v>3</v>
      </c>
    </row>
    <row r="97" spans="2:10" x14ac:dyDescent="0.25">
      <c r="B97" s="43" t="s">
        <v>29</v>
      </c>
      <c r="C97" s="243" t="s">
        <v>251</v>
      </c>
      <c r="D97" s="243"/>
      <c r="E97" s="243"/>
      <c r="F97" s="243"/>
      <c r="G97" s="4"/>
      <c r="H97" s="6"/>
      <c r="I97" s="6"/>
      <c r="J97" s="6"/>
    </row>
    <row r="98" spans="2:10" x14ac:dyDescent="0.25">
      <c r="B98" s="50" t="s">
        <v>252</v>
      </c>
      <c r="C98" s="237" t="s">
        <v>258</v>
      </c>
      <c r="D98" s="238"/>
      <c r="E98" s="238"/>
      <c r="F98" s="239"/>
      <c r="G98" s="44" t="s">
        <v>152</v>
      </c>
      <c r="H98" s="6"/>
      <c r="I98" s="6">
        <v>3</v>
      </c>
      <c r="J98" s="6"/>
    </row>
    <row r="99" spans="2:10" x14ac:dyDescent="0.25">
      <c r="B99" s="50" t="s">
        <v>253</v>
      </c>
      <c r="C99" s="237" t="s">
        <v>259</v>
      </c>
      <c r="D99" s="238"/>
      <c r="E99" s="238"/>
      <c r="F99" s="239"/>
      <c r="G99" s="44" t="s">
        <v>257</v>
      </c>
      <c r="H99" s="6"/>
      <c r="I99" s="6">
        <v>1</v>
      </c>
      <c r="J99" s="6"/>
    </row>
    <row r="100" spans="2:10" x14ac:dyDescent="0.25">
      <c r="B100" s="50" t="s">
        <v>254</v>
      </c>
      <c r="C100" s="237" t="s">
        <v>260</v>
      </c>
      <c r="D100" s="238"/>
      <c r="E100" s="238"/>
      <c r="F100" s="239"/>
      <c r="G100" s="44"/>
      <c r="H100" s="6">
        <v>0.1</v>
      </c>
      <c r="I100" s="6">
        <v>1.1000000000000001</v>
      </c>
      <c r="J100" s="6"/>
    </row>
    <row r="101" spans="2:10" x14ac:dyDescent="0.25">
      <c r="B101" s="50" t="s">
        <v>255</v>
      </c>
      <c r="C101" s="237" t="s">
        <v>261</v>
      </c>
      <c r="D101" s="238"/>
      <c r="E101" s="238"/>
      <c r="F101" s="239"/>
      <c r="G101" s="44" t="s">
        <v>152</v>
      </c>
      <c r="H101" s="6">
        <v>3</v>
      </c>
      <c r="I101" s="6">
        <f>H101*I100*I98</f>
        <v>9.9</v>
      </c>
      <c r="J101" s="45">
        <f>ROUND(I101,0)</f>
        <v>10</v>
      </c>
    </row>
    <row r="102" spans="2:10" x14ac:dyDescent="0.25">
      <c r="B102" s="50" t="s">
        <v>256</v>
      </c>
      <c r="C102" s="237" t="s">
        <v>262</v>
      </c>
      <c r="D102" s="238"/>
      <c r="E102" s="238"/>
      <c r="F102" s="239"/>
      <c r="G102" s="44" t="s">
        <v>257</v>
      </c>
      <c r="H102" s="6">
        <f>J96</f>
        <v>3</v>
      </c>
      <c r="I102" s="6">
        <f>H102*I99*I100</f>
        <v>3.3000000000000003</v>
      </c>
      <c r="J102" s="45">
        <f>ROUND(I102,0)</f>
        <v>3</v>
      </c>
    </row>
    <row r="103" spans="2:10" x14ac:dyDescent="0.25">
      <c r="B103" s="50" t="s">
        <v>30</v>
      </c>
      <c r="C103" s="243" t="s">
        <v>263</v>
      </c>
      <c r="D103" s="243"/>
      <c r="E103" s="243"/>
      <c r="F103" s="243"/>
      <c r="G103" s="4"/>
      <c r="H103" s="6"/>
      <c r="I103" s="6"/>
      <c r="J103" s="6"/>
    </row>
    <row r="104" spans="2:10" x14ac:dyDescent="0.25">
      <c r="B104" s="50" t="s">
        <v>264</v>
      </c>
      <c r="C104" s="235" t="s">
        <v>274</v>
      </c>
      <c r="D104" s="235"/>
      <c r="E104" s="235"/>
      <c r="F104" s="235"/>
      <c r="G104" s="4" t="s">
        <v>243</v>
      </c>
      <c r="H104" s="6">
        <v>6</v>
      </c>
      <c r="I104" s="6">
        <f>I87*H104/1000</f>
        <v>1.8</v>
      </c>
      <c r="J104" s="6"/>
    </row>
    <row r="105" spans="2:10" x14ac:dyDescent="0.25">
      <c r="B105" s="50" t="s">
        <v>269</v>
      </c>
      <c r="C105" s="235" t="s">
        <v>265</v>
      </c>
      <c r="D105" s="235"/>
      <c r="E105" s="235"/>
      <c r="F105" s="235"/>
      <c r="G105" s="44" t="s">
        <v>190</v>
      </c>
      <c r="H105" s="6">
        <v>30</v>
      </c>
      <c r="I105" s="6">
        <f>H88*I85*H105</f>
        <v>951035.84568000003</v>
      </c>
      <c r="J105" s="6"/>
    </row>
    <row r="106" spans="2:10" x14ac:dyDescent="0.25">
      <c r="B106" s="50" t="s">
        <v>270</v>
      </c>
      <c r="C106" s="235" t="s">
        <v>265</v>
      </c>
      <c r="D106" s="235"/>
      <c r="E106" s="235"/>
      <c r="F106" s="235"/>
      <c r="G106" s="44" t="s">
        <v>243</v>
      </c>
      <c r="H106" s="6">
        <v>1000</v>
      </c>
      <c r="I106" s="6">
        <f>I105/H106</f>
        <v>951.03584568000008</v>
      </c>
      <c r="J106" s="6"/>
    </row>
    <row r="107" spans="2:10" x14ac:dyDescent="0.25">
      <c r="B107" s="50" t="s">
        <v>271</v>
      </c>
      <c r="C107" s="235" t="s">
        <v>266</v>
      </c>
      <c r="D107" s="235"/>
      <c r="E107" s="235"/>
      <c r="F107" s="235"/>
      <c r="G107" s="44" t="s">
        <v>243</v>
      </c>
      <c r="H107" s="6"/>
      <c r="I107" s="6">
        <f>I106/4.3</f>
        <v>221.1711269023256</v>
      </c>
      <c r="J107" s="6"/>
    </row>
    <row r="108" spans="2:10" x14ac:dyDescent="0.25">
      <c r="B108" s="50" t="s">
        <v>272</v>
      </c>
      <c r="C108" s="235" t="s">
        <v>267</v>
      </c>
      <c r="D108" s="235"/>
      <c r="E108" s="235"/>
      <c r="F108" s="235"/>
      <c r="G108" s="44" t="s">
        <v>243</v>
      </c>
      <c r="H108" s="6">
        <v>5.5</v>
      </c>
      <c r="I108" s="6">
        <f>I104*H108</f>
        <v>9.9</v>
      </c>
      <c r="J108" s="6"/>
    </row>
    <row r="109" spans="2:10" x14ac:dyDescent="0.25">
      <c r="B109" s="50" t="s">
        <v>273</v>
      </c>
      <c r="C109" s="235" t="s">
        <v>268</v>
      </c>
      <c r="D109" s="235"/>
      <c r="E109" s="235"/>
      <c r="F109" s="235"/>
      <c r="G109" s="44" t="s">
        <v>150</v>
      </c>
      <c r="H109" s="6"/>
      <c r="I109" s="6">
        <f>I107/I108</f>
        <v>22.340517868921776</v>
      </c>
      <c r="J109" s="6">
        <v>11</v>
      </c>
    </row>
    <row r="110" spans="2:10" x14ac:dyDescent="0.25">
      <c r="B110" s="50" t="s">
        <v>275</v>
      </c>
      <c r="C110" s="243" t="s">
        <v>251</v>
      </c>
      <c r="D110" s="243"/>
      <c r="E110" s="243"/>
      <c r="F110" s="243"/>
      <c r="G110" s="4"/>
      <c r="H110" s="6"/>
      <c r="I110" s="6"/>
      <c r="J110" s="6"/>
    </row>
    <row r="111" spans="2:10" x14ac:dyDescent="0.25">
      <c r="B111" s="50" t="s">
        <v>276</v>
      </c>
      <c r="C111" s="235" t="s">
        <v>277</v>
      </c>
      <c r="D111" s="235"/>
      <c r="E111" s="235"/>
      <c r="F111" s="235"/>
      <c r="G111" s="44" t="s">
        <v>152</v>
      </c>
      <c r="H111" s="6"/>
      <c r="I111" s="6">
        <v>3</v>
      </c>
      <c r="J111" s="6"/>
    </row>
    <row r="112" spans="2:10" x14ac:dyDescent="0.25">
      <c r="B112" s="50" t="s">
        <v>278</v>
      </c>
      <c r="C112" s="235" t="s">
        <v>259</v>
      </c>
      <c r="D112" s="235"/>
      <c r="E112" s="235"/>
      <c r="F112" s="235"/>
      <c r="G112" s="44" t="s">
        <v>257</v>
      </c>
      <c r="H112" s="6">
        <f>J109</f>
        <v>11</v>
      </c>
      <c r="I112" s="6">
        <v>1</v>
      </c>
      <c r="J112" s="6"/>
    </row>
    <row r="113" spans="2:10" x14ac:dyDescent="0.25">
      <c r="B113" s="50" t="s">
        <v>279</v>
      </c>
      <c r="C113" s="235" t="s">
        <v>260</v>
      </c>
      <c r="D113" s="235"/>
      <c r="E113" s="235"/>
      <c r="F113" s="235"/>
      <c r="G113" s="44"/>
      <c r="H113" s="6"/>
      <c r="I113" s="6">
        <v>1.1000000000000001</v>
      </c>
      <c r="J113" s="6"/>
    </row>
    <row r="114" spans="2:10" x14ac:dyDescent="0.25">
      <c r="B114" s="50" t="s">
        <v>280</v>
      </c>
      <c r="C114" s="235" t="s">
        <v>261</v>
      </c>
      <c r="D114" s="235"/>
      <c r="E114" s="235"/>
      <c r="F114" s="235"/>
      <c r="G114" s="44" t="s">
        <v>152</v>
      </c>
      <c r="H114" s="6">
        <f>J109</f>
        <v>11</v>
      </c>
      <c r="I114" s="6">
        <f>H114*I113*I111</f>
        <v>36.300000000000004</v>
      </c>
      <c r="J114" s="6"/>
    </row>
    <row r="115" spans="2:10" x14ac:dyDescent="0.25">
      <c r="B115" s="50" t="s">
        <v>281</v>
      </c>
      <c r="C115" s="235" t="s">
        <v>262</v>
      </c>
      <c r="D115" s="235"/>
      <c r="E115" s="235"/>
      <c r="F115" s="235"/>
      <c r="G115" s="44" t="s">
        <v>257</v>
      </c>
      <c r="H115" s="6">
        <f>J109</f>
        <v>11</v>
      </c>
      <c r="I115" s="6">
        <f>H115</f>
        <v>11</v>
      </c>
      <c r="J115" s="6">
        <f>I115</f>
        <v>11</v>
      </c>
    </row>
    <row r="116" spans="2:10" x14ac:dyDescent="0.25">
      <c r="H116" s="38"/>
      <c r="I116" s="38"/>
      <c r="J116" s="38"/>
    </row>
    <row r="117" spans="2:10" x14ac:dyDescent="0.25">
      <c r="B117" s="40" t="s">
        <v>282</v>
      </c>
      <c r="C117" s="236" t="s">
        <v>283</v>
      </c>
      <c r="D117" s="236"/>
      <c r="E117" s="236"/>
      <c r="F117" s="236"/>
      <c r="G117" s="40"/>
      <c r="H117" s="40"/>
      <c r="I117" s="40"/>
      <c r="J117" s="40"/>
    </row>
    <row r="118" spans="2:10" x14ac:dyDescent="0.25">
      <c r="B118" s="6" t="s">
        <v>292</v>
      </c>
      <c r="C118" s="237" t="s">
        <v>234</v>
      </c>
      <c r="D118" s="238"/>
      <c r="E118" s="238"/>
      <c r="F118" s="239"/>
      <c r="G118" s="44" t="s">
        <v>121</v>
      </c>
      <c r="H118" s="6"/>
      <c r="I118" s="6">
        <f>I18</f>
        <v>34532.892</v>
      </c>
      <c r="J118" s="6"/>
    </row>
    <row r="119" spans="2:10" x14ac:dyDescent="0.25">
      <c r="B119" s="6" t="s">
        <v>293</v>
      </c>
      <c r="C119" s="237" t="s">
        <v>284</v>
      </c>
      <c r="D119" s="238"/>
      <c r="E119" s="238"/>
      <c r="F119" s="239"/>
      <c r="G119" s="44" t="s">
        <v>301</v>
      </c>
      <c r="H119" s="6"/>
      <c r="I119" s="6">
        <v>15.35</v>
      </c>
      <c r="J119" s="6"/>
    </row>
    <row r="120" spans="2:10" x14ac:dyDescent="0.25">
      <c r="B120" s="6" t="s">
        <v>294</v>
      </c>
      <c r="C120" s="237" t="s">
        <v>285</v>
      </c>
      <c r="D120" s="238"/>
      <c r="E120" s="238"/>
      <c r="F120" s="239"/>
      <c r="G120" s="44" t="s">
        <v>302</v>
      </c>
      <c r="H120" s="6"/>
      <c r="I120" s="6">
        <f>I118*I119</f>
        <v>530079.8922</v>
      </c>
      <c r="J120" s="6"/>
    </row>
    <row r="121" spans="2:10" x14ac:dyDescent="0.25">
      <c r="B121" s="6" t="s">
        <v>295</v>
      </c>
      <c r="C121" s="237" t="s">
        <v>286</v>
      </c>
      <c r="D121" s="238"/>
      <c r="E121" s="238"/>
      <c r="F121" s="239"/>
      <c r="G121" s="44" t="s">
        <v>303</v>
      </c>
      <c r="H121" s="6"/>
      <c r="I121" s="6">
        <f>I120/12</f>
        <v>44173.324350000003</v>
      </c>
      <c r="J121" s="6"/>
    </row>
    <row r="122" spans="2:10" x14ac:dyDescent="0.25">
      <c r="B122" s="6" t="s">
        <v>296</v>
      </c>
      <c r="C122" s="237" t="s">
        <v>287</v>
      </c>
      <c r="D122" s="238"/>
      <c r="E122" s="238"/>
      <c r="F122" s="239"/>
      <c r="G122" s="44" t="s">
        <v>188</v>
      </c>
      <c r="H122" s="6">
        <f>I122/1000</f>
        <v>0.98</v>
      </c>
      <c r="I122" s="6">
        <v>980</v>
      </c>
      <c r="J122" s="6"/>
    </row>
    <row r="123" spans="2:10" x14ac:dyDescent="0.25">
      <c r="B123" s="6" t="s">
        <v>297</v>
      </c>
      <c r="C123" s="237" t="s">
        <v>288</v>
      </c>
      <c r="D123" s="238"/>
      <c r="E123" s="238"/>
      <c r="F123" s="239"/>
      <c r="G123" s="44" t="s">
        <v>191</v>
      </c>
      <c r="H123" s="6"/>
      <c r="I123" s="6">
        <f>I121/I122</f>
        <v>45.074820765306129</v>
      </c>
      <c r="J123" s="6"/>
    </row>
    <row r="124" spans="2:10" x14ac:dyDescent="0.25">
      <c r="B124" s="6" t="s">
        <v>298</v>
      </c>
      <c r="C124" s="237" t="s">
        <v>289</v>
      </c>
      <c r="D124" s="238"/>
      <c r="E124" s="238"/>
      <c r="F124" s="239"/>
      <c r="G124" s="44" t="s">
        <v>192</v>
      </c>
      <c r="H124" s="6">
        <v>6</v>
      </c>
      <c r="I124" s="6">
        <f>I123/H124</f>
        <v>7.5124701275510217</v>
      </c>
      <c r="J124" s="6"/>
    </row>
    <row r="125" spans="2:10" x14ac:dyDescent="0.25">
      <c r="B125" s="6" t="s">
        <v>299</v>
      </c>
      <c r="C125" s="237" t="s">
        <v>290</v>
      </c>
      <c r="D125" s="238"/>
      <c r="E125" s="238"/>
      <c r="F125" s="239"/>
      <c r="G125" s="44" t="s">
        <v>192</v>
      </c>
      <c r="H125" s="6">
        <v>4.3</v>
      </c>
      <c r="I125" s="6">
        <f>I124/H125</f>
        <v>1.7470860761746563</v>
      </c>
      <c r="J125" s="6"/>
    </row>
    <row r="126" spans="2:10" x14ac:dyDescent="0.25">
      <c r="B126" s="6" t="s">
        <v>300</v>
      </c>
      <c r="C126" s="237" t="s">
        <v>291</v>
      </c>
      <c r="D126" s="238"/>
      <c r="E126" s="238"/>
      <c r="F126" s="239"/>
      <c r="G126" s="44" t="s">
        <v>192</v>
      </c>
      <c r="H126" s="6">
        <v>5.5</v>
      </c>
      <c r="I126" s="6">
        <f>I125/H126</f>
        <v>0.31765201384993752</v>
      </c>
      <c r="J126" s="45">
        <f>I126</f>
        <v>0.31765201384993752</v>
      </c>
    </row>
    <row r="127" spans="2:10" x14ac:dyDescent="0.25">
      <c r="H127" s="38"/>
      <c r="I127" s="38"/>
      <c r="J127" s="38"/>
    </row>
    <row r="128" spans="2:10" ht="29.25" customHeight="1" x14ac:dyDescent="0.25">
      <c r="B128" s="40" t="s">
        <v>304</v>
      </c>
      <c r="C128" s="236" t="s">
        <v>306</v>
      </c>
      <c r="D128" s="236"/>
      <c r="E128" s="236"/>
      <c r="F128" s="236"/>
      <c r="G128" s="40"/>
      <c r="H128" s="40"/>
      <c r="I128" s="40"/>
      <c r="J128" s="40"/>
    </row>
    <row r="129" spans="2:10" x14ac:dyDescent="0.25">
      <c r="B129" s="6" t="s">
        <v>305</v>
      </c>
      <c r="C129" s="235" t="s">
        <v>288</v>
      </c>
      <c r="D129" s="235"/>
      <c r="E129" s="235"/>
      <c r="F129" s="235"/>
      <c r="G129" s="44" t="s">
        <v>191</v>
      </c>
      <c r="H129" s="6"/>
      <c r="I129" s="6">
        <f>I123</f>
        <v>45.074820765306129</v>
      </c>
      <c r="J129" s="6"/>
    </row>
    <row r="130" spans="2:10" x14ac:dyDescent="0.25">
      <c r="B130" s="6" t="s">
        <v>309</v>
      </c>
      <c r="C130" s="235" t="s">
        <v>307</v>
      </c>
      <c r="D130" s="235"/>
      <c r="E130" s="235"/>
      <c r="F130" s="235"/>
      <c r="G130" s="44" t="s">
        <v>191</v>
      </c>
      <c r="H130" s="6"/>
      <c r="I130" s="51">
        <f>I56</f>
        <v>58.006655999999985</v>
      </c>
      <c r="J130" s="6"/>
    </row>
    <row r="131" spans="2:10" x14ac:dyDescent="0.25">
      <c r="B131" s="6" t="s">
        <v>310</v>
      </c>
      <c r="C131" s="235" t="s">
        <v>206</v>
      </c>
      <c r="D131" s="235"/>
      <c r="E131" s="235"/>
      <c r="F131" s="235"/>
      <c r="G131" s="44" t="s">
        <v>191</v>
      </c>
      <c r="H131" s="6"/>
      <c r="I131" s="6">
        <f>I80</f>
        <v>6.5950865454545449</v>
      </c>
      <c r="J131" s="6">
        <f>SUM(I129:I131)</f>
        <v>109.67656331076067</v>
      </c>
    </row>
    <row r="132" spans="2:10" x14ac:dyDescent="0.25">
      <c r="B132" s="6" t="s">
        <v>311</v>
      </c>
      <c r="C132" s="235" t="s">
        <v>308</v>
      </c>
      <c r="D132" s="235"/>
      <c r="E132" s="235"/>
      <c r="F132" s="235"/>
      <c r="G132" s="44" t="s">
        <v>150</v>
      </c>
      <c r="H132" s="6"/>
      <c r="I132" s="6">
        <f>(J131/6)/(4.3*5.5)</f>
        <v>0.77291447012516323</v>
      </c>
      <c r="J132" s="45">
        <f>ROUNDUP(I132,0)</f>
        <v>1</v>
      </c>
    </row>
    <row r="133" spans="2:10" x14ac:dyDescent="0.25">
      <c r="B133" s="6" t="s">
        <v>312</v>
      </c>
      <c r="C133" s="235" t="s">
        <v>277</v>
      </c>
      <c r="D133" s="235"/>
      <c r="E133" s="235"/>
      <c r="F133" s="235"/>
      <c r="G133" s="44" t="s">
        <v>152</v>
      </c>
      <c r="H133" s="6"/>
      <c r="I133" s="6">
        <v>3</v>
      </c>
      <c r="J133" s="6"/>
    </row>
    <row r="134" spans="2:10" x14ac:dyDescent="0.25">
      <c r="B134" s="6" t="s">
        <v>313</v>
      </c>
      <c r="C134" s="235" t="s">
        <v>259</v>
      </c>
      <c r="D134" s="235"/>
      <c r="E134" s="235"/>
      <c r="F134" s="235"/>
      <c r="G134" s="44" t="s">
        <v>257</v>
      </c>
      <c r="H134" s="6"/>
      <c r="I134" s="6">
        <v>1</v>
      </c>
      <c r="J134" s="6"/>
    </row>
    <row r="135" spans="2:10" x14ac:dyDescent="0.25">
      <c r="B135" s="6" t="s">
        <v>314</v>
      </c>
      <c r="C135" s="235" t="s">
        <v>260</v>
      </c>
      <c r="D135" s="235"/>
      <c r="E135" s="235"/>
      <c r="F135" s="235"/>
      <c r="G135" s="44"/>
      <c r="H135" s="6"/>
      <c r="I135" s="6">
        <v>1.1000000000000001</v>
      </c>
      <c r="J135" s="6"/>
    </row>
    <row r="136" spans="2:10" x14ac:dyDescent="0.25">
      <c r="B136" s="6" t="s">
        <v>315</v>
      </c>
      <c r="C136" s="235" t="s">
        <v>261</v>
      </c>
      <c r="D136" s="235"/>
      <c r="E136" s="235"/>
      <c r="F136" s="235"/>
      <c r="G136" s="44" t="s">
        <v>152</v>
      </c>
      <c r="H136" s="6"/>
      <c r="I136" s="6">
        <f>I133*I135</f>
        <v>3.3000000000000003</v>
      </c>
      <c r="J136" s="45">
        <v>3</v>
      </c>
    </row>
    <row r="137" spans="2:10" x14ac:dyDescent="0.25">
      <c r="B137" s="6" t="s">
        <v>316</v>
      </c>
      <c r="C137" s="235" t="s">
        <v>262</v>
      </c>
      <c r="D137" s="235"/>
      <c r="E137" s="235"/>
      <c r="F137" s="235"/>
      <c r="G137" s="44" t="s">
        <v>257</v>
      </c>
      <c r="H137" s="6"/>
      <c r="I137" s="6">
        <f>I134*I135</f>
        <v>1.1000000000000001</v>
      </c>
      <c r="J137" s="45">
        <v>1</v>
      </c>
    </row>
    <row r="138" spans="2:10" x14ac:dyDescent="0.25">
      <c r="H138" s="38"/>
      <c r="I138" s="38"/>
      <c r="J138" s="38"/>
    </row>
    <row r="139" spans="2:10" x14ac:dyDescent="0.25">
      <c r="B139" s="40" t="s">
        <v>317</v>
      </c>
      <c r="C139" s="236" t="s">
        <v>441</v>
      </c>
      <c r="D139" s="236"/>
      <c r="E139" s="236"/>
      <c r="F139" s="236"/>
      <c r="G139" s="40"/>
      <c r="H139" s="40"/>
      <c r="I139" s="40"/>
      <c r="J139" s="40"/>
    </row>
    <row r="140" spans="2:10" x14ac:dyDescent="0.25">
      <c r="B140" s="6" t="s">
        <v>322</v>
      </c>
      <c r="C140" s="235" t="s">
        <v>234</v>
      </c>
      <c r="D140" s="235"/>
      <c r="E140" s="235"/>
      <c r="F140" s="235"/>
      <c r="G140" s="44" t="s">
        <v>121</v>
      </c>
      <c r="H140" s="6"/>
      <c r="I140" s="6">
        <f>I18</f>
        <v>34532.892</v>
      </c>
      <c r="J140" s="6"/>
    </row>
    <row r="141" spans="2:10" x14ac:dyDescent="0.25">
      <c r="B141" s="6" t="s">
        <v>323</v>
      </c>
      <c r="C141" s="235" t="s">
        <v>235</v>
      </c>
      <c r="D141" s="235"/>
      <c r="E141" s="235"/>
      <c r="F141" s="235"/>
      <c r="G141" s="44" t="s">
        <v>241</v>
      </c>
      <c r="H141" s="6">
        <f>I141/1000</f>
        <v>0.96699999999999997</v>
      </c>
      <c r="I141" s="6">
        <v>967</v>
      </c>
      <c r="J141" s="6"/>
    </row>
    <row r="142" spans="2:10" x14ac:dyDescent="0.25">
      <c r="B142" s="6" t="s">
        <v>324</v>
      </c>
      <c r="C142" s="235" t="s">
        <v>236</v>
      </c>
      <c r="D142" s="235"/>
      <c r="E142" s="235"/>
      <c r="F142" s="235"/>
      <c r="G142" s="44" t="s">
        <v>188</v>
      </c>
      <c r="H142" s="6"/>
      <c r="I142" s="6">
        <v>300</v>
      </c>
      <c r="J142" s="6"/>
    </row>
    <row r="143" spans="2:10" x14ac:dyDescent="0.25">
      <c r="B143" s="6" t="s">
        <v>325</v>
      </c>
      <c r="C143" s="235" t="s">
        <v>286</v>
      </c>
      <c r="D143" s="235"/>
      <c r="E143" s="235"/>
      <c r="F143" s="235"/>
      <c r="G143" s="44" t="s">
        <v>242</v>
      </c>
      <c r="H143" s="6">
        <v>30</v>
      </c>
      <c r="I143" s="6">
        <f>H143*I140*H141</f>
        <v>1001799.19692</v>
      </c>
      <c r="J143" s="6"/>
    </row>
    <row r="144" spans="2:10" x14ac:dyDescent="0.25">
      <c r="B144" s="6" t="s">
        <v>326</v>
      </c>
      <c r="C144" s="235" t="s">
        <v>286</v>
      </c>
      <c r="D144" s="235"/>
      <c r="E144" s="235"/>
      <c r="F144" s="235"/>
      <c r="G144" s="44" t="s">
        <v>243</v>
      </c>
      <c r="H144" s="6"/>
      <c r="I144" s="6">
        <f>I143/1000</f>
        <v>1001.79919692</v>
      </c>
      <c r="J144" s="6"/>
    </row>
    <row r="145" spans="2:10" x14ac:dyDescent="0.25">
      <c r="B145" s="6" t="s">
        <v>327</v>
      </c>
      <c r="C145" s="235" t="s">
        <v>318</v>
      </c>
      <c r="D145" s="235"/>
      <c r="E145" s="235"/>
      <c r="F145" s="235"/>
      <c r="G145" s="44" t="s">
        <v>191</v>
      </c>
      <c r="H145" s="6"/>
      <c r="I145" s="6">
        <f>I143/I142</f>
        <v>3339.3306564</v>
      </c>
      <c r="J145" s="6"/>
    </row>
    <row r="146" spans="2:10" x14ac:dyDescent="0.25">
      <c r="B146" s="6" t="s">
        <v>328</v>
      </c>
      <c r="C146" s="235" t="s">
        <v>288</v>
      </c>
      <c r="D146" s="235"/>
      <c r="E146" s="235"/>
      <c r="F146" s="235"/>
      <c r="G146" s="44" t="s">
        <v>191</v>
      </c>
      <c r="H146" s="6"/>
      <c r="I146" s="6">
        <f>I129</f>
        <v>45.074820765306129</v>
      </c>
      <c r="J146" s="6"/>
    </row>
    <row r="147" spans="2:10" x14ac:dyDescent="0.25">
      <c r="B147" s="6" t="s">
        <v>329</v>
      </c>
      <c r="C147" s="235" t="s">
        <v>307</v>
      </c>
      <c r="D147" s="235"/>
      <c r="E147" s="235"/>
      <c r="F147" s="235"/>
      <c r="G147" s="44" t="s">
        <v>191</v>
      </c>
      <c r="H147" s="6"/>
      <c r="I147" s="6">
        <f>I130</f>
        <v>58.006655999999985</v>
      </c>
      <c r="J147" s="6"/>
    </row>
    <row r="148" spans="2:10" x14ac:dyDescent="0.25">
      <c r="B148" s="6" t="s">
        <v>330</v>
      </c>
      <c r="C148" s="235" t="s">
        <v>206</v>
      </c>
      <c r="D148" s="235"/>
      <c r="E148" s="235"/>
      <c r="F148" s="235"/>
      <c r="G148" s="44" t="s">
        <v>191</v>
      </c>
      <c r="H148" s="6"/>
      <c r="I148" s="6">
        <f>I131</f>
        <v>6.5950865454545449</v>
      </c>
      <c r="J148" s="6"/>
    </row>
    <row r="149" spans="2:10" x14ac:dyDescent="0.25">
      <c r="B149" s="6" t="s">
        <v>331</v>
      </c>
      <c r="C149" s="235" t="s">
        <v>319</v>
      </c>
      <c r="D149" s="235"/>
      <c r="E149" s="235"/>
      <c r="F149" s="235"/>
      <c r="G149" s="44" t="s">
        <v>191</v>
      </c>
      <c r="H149" s="6"/>
      <c r="I149" s="6">
        <f>SUM(I145:I148)</f>
        <v>3449.0072197107606</v>
      </c>
      <c r="J149" s="6"/>
    </row>
    <row r="150" spans="2:10" x14ac:dyDescent="0.25">
      <c r="B150" s="6" t="s">
        <v>332</v>
      </c>
      <c r="C150" s="235" t="s">
        <v>320</v>
      </c>
      <c r="D150" s="235"/>
      <c r="E150" s="235"/>
      <c r="F150" s="235"/>
      <c r="G150" s="44" t="s">
        <v>334</v>
      </c>
      <c r="H150" s="6"/>
      <c r="I150" s="6">
        <v>106</v>
      </c>
      <c r="J150" s="6"/>
    </row>
    <row r="151" spans="2:10" x14ac:dyDescent="0.25">
      <c r="B151" s="6" t="s">
        <v>333</v>
      </c>
      <c r="C151" s="235" t="s">
        <v>321</v>
      </c>
      <c r="D151" s="235"/>
      <c r="E151" s="235"/>
      <c r="F151" s="235"/>
      <c r="G151" s="44" t="s">
        <v>121</v>
      </c>
      <c r="H151" s="6"/>
      <c r="I151" s="6">
        <f>I149/I150</f>
        <v>32.537803959535481</v>
      </c>
      <c r="J151" s="45">
        <v>17</v>
      </c>
    </row>
    <row r="152" spans="2:10" x14ac:dyDescent="0.25">
      <c r="H152" s="38"/>
      <c r="I152" s="38"/>
      <c r="J152" s="38"/>
    </row>
    <row r="153" spans="2:10" x14ac:dyDescent="0.25">
      <c r="B153" s="40" t="s">
        <v>336</v>
      </c>
      <c r="C153" s="236" t="s">
        <v>335</v>
      </c>
      <c r="D153" s="236"/>
      <c r="E153" s="236"/>
      <c r="F153" s="236"/>
      <c r="G153" s="40"/>
      <c r="H153" s="40"/>
      <c r="I153" s="40"/>
      <c r="J153" s="40"/>
    </row>
    <row r="154" spans="2:10" x14ac:dyDescent="0.25">
      <c r="B154" s="6" t="s">
        <v>347</v>
      </c>
      <c r="C154" s="235" t="s">
        <v>337</v>
      </c>
      <c r="D154" s="235"/>
      <c r="E154" s="235"/>
      <c r="F154" s="235"/>
      <c r="G154" s="44" t="s">
        <v>149</v>
      </c>
      <c r="H154" s="6"/>
      <c r="I154" s="6">
        <v>180</v>
      </c>
      <c r="J154" s="6"/>
    </row>
    <row r="155" spans="2:10" x14ac:dyDescent="0.25">
      <c r="B155" s="6" t="s">
        <v>348</v>
      </c>
      <c r="C155" s="235" t="s">
        <v>338</v>
      </c>
      <c r="D155" s="235"/>
      <c r="E155" s="235"/>
      <c r="F155" s="235"/>
      <c r="G155" s="44" t="s">
        <v>147</v>
      </c>
      <c r="H155" s="6"/>
      <c r="I155" s="6">
        <v>33</v>
      </c>
      <c r="J155" s="6"/>
    </row>
    <row r="156" spans="2:10" x14ac:dyDescent="0.25">
      <c r="B156" s="6" t="s">
        <v>349</v>
      </c>
      <c r="C156" s="235" t="s">
        <v>339</v>
      </c>
      <c r="D156" s="235"/>
      <c r="E156" s="235"/>
      <c r="F156" s="235"/>
      <c r="G156" s="44" t="s">
        <v>148</v>
      </c>
      <c r="H156" s="6"/>
      <c r="I156" s="6">
        <v>8</v>
      </c>
      <c r="J156" s="6"/>
    </row>
    <row r="157" spans="2:10" x14ac:dyDescent="0.25">
      <c r="B157" s="6" t="s">
        <v>350</v>
      </c>
      <c r="C157" s="235" t="s">
        <v>340</v>
      </c>
      <c r="D157" s="235"/>
      <c r="E157" s="235"/>
      <c r="F157" s="235"/>
      <c r="G157" s="44" t="s">
        <v>114</v>
      </c>
      <c r="H157" s="6"/>
      <c r="I157" s="6">
        <f>I155*I156</f>
        <v>264</v>
      </c>
      <c r="J157" s="6"/>
    </row>
    <row r="158" spans="2:10" x14ac:dyDescent="0.25">
      <c r="B158" s="6" t="s">
        <v>351</v>
      </c>
      <c r="C158" s="235" t="s">
        <v>341</v>
      </c>
      <c r="D158" s="235"/>
      <c r="E158" s="235"/>
      <c r="F158" s="235"/>
      <c r="G158" s="44" t="s">
        <v>114</v>
      </c>
      <c r="H158" s="6">
        <v>1</v>
      </c>
      <c r="I158" s="6">
        <f>I13</f>
        <v>28977.599999999999</v>
      </c>
      <c r="J158" s="6"/>
    </row>
    <row r="159" spans="2:10" x14ac:dyDescent="0.25">
      <c r="B159" s="6" t="s">
        <v>352</v>
      </c>
      <c r="C159" s="235" t="s">
        <v>342</v>
      </c>
      <c r="D159" s="235"/>
      <c r="E159" s="235"/>
      <c r="F159" s="235"/>
      <c r="G159" s="44" t="s">
        <v>114</v>
      </c>
      <c r="H159" s="6">
        <v>2</v>
      </c>
      <c r="I159" s="6">
        <f>I158*H159</f>
        <v>57955.199999999997</v>
      </c>
      <c r="J159" s="6"/>
    </row>
    <row r="160" spans="2:10" x14ac:dyDescent="0.25">
      <c r="B160" s="6" t="s">
        <v>353</v>
      </c>
      <c r="C160" s="235" t="s">
        <v>343</v>
      </c>
      <c r="D160" s="235"/>
      <c r="E160" s="235"/>
      <c r="F160" s="235"/>
      <c r="G160" s="44" t="s">
        <v>114</v>
      </c>
      <c r="H160" s="6"/>
      <c r="I160" s="6">
        <f>I159/I154</f>
        <v>321.9733333333333</v>
      </c>
      <c r="J160" s="6"/>
    </row>
    <row r="161" spans="2:10" x14ac:dyDescent="0.25">
      <c r="B161" s="6" t="s">
        <v>354</v>
      </c>
      <c r="C161" s="235" t="s">
        <v>344</v>
      </c>
      <c r="D161" s="235"/>
      <c r="E161" s="235"/>
      <c r="F161" s="235"/>
      <c r="G161" s="44" t="s">
        <v>150</v>
      </c>
      <c r="H161" s="6"/>
      <c r="I161" s="6">
        <f>I160/I157</f>
        <v>1.2195959595959596</v>
      </c>
      <c r="J161" s="45">
        <v>2</v>
      </c>
    </row>
    <row r="162" spans="2:10" x14ac:dyDescent="0.25">
      <c r="B162" s="6" t="s">
        <v>355</v>
      </c>
      <c r="C162" s="235" t="s">
        <v>345</v>
      </c>
      <c r="D162" s="235"/>
      <c r="E162" s="235"/>
      <c r="F162" s="235"/>
      <c r="G162" s="44" t="s">
        <v>190</v>
      </c>
      <c r="H162" s="6">
        <v>0.3</v>
      </c>
      <c r="I162" s="6">
        <f>I160*0.3/5.5</f>
        <v>17.562181818181816</v>
      </c>
      <c r="J162" s="6"/>
    </row>
    <row r="163" spans="2:10" x14ac:dyDescent="0.25">
      <c r="B163" s="6" t="s">
        <v>356</v>
      </c>
      <c r="C163" s="235" t="s">
        <v>346</v>
      </c>
      <c r="D163" s="235"/>
      <c r="E163" s="235"/>
      <c r="F163" s="235"/>
      <c r="G163" s="44" t="s">
        <v>190</v>
      </c>
      <c r="H163" s="6">
        <v>23.65</v>
      </c>
      <c r="I163" s="6">
        <f>H163*I162</f>
        <v>415.34559999999993</v>
      </c>
      <c r="J163" s="45">
        <v>570</v>
      </c>
    </row>
    <row r="164" spans="2:10" x14ac:dyDescent="0.25">
      <c r="H164" s="38"/>
      <c r="I164" s="38"/>
      <c r="J164" s="38"/>
    </row>
    <row r="165" spans="2:10" x14ac:dyDescent="0.25">
      <c r="H165" s="38"/>
      <c r="I165" s="38"/>
      <c r="J165" s="38"/>
    </row>
    <row r="166" spans="2:10" x14ac:dyDescent="0.25">
      <c r="H166" s="38"/>
      <c r="I166" s="38"/>
      <c r="J166" s="38"/>
    </row>
    <row r="167" spans="2:10" x14ac:dyDescent="0.25">
      <c r="H167" s="38"/>
      <c r="I167" s="38"/>
      <c r="J167" s="38"/>
    </row>
    <row r="168" spans="2:10" x14ac:dyDescent="0.25">
      <c r="H168" s="38"/>
      <c r="I168" s="38"/>
      <c r="J168" s="38"/>
    </row>
    <row r="169" spans="2:10" x14ac:dyDescent="0.25">
      <c r="H169" s="38"/>
      <c r="I169" s="38"/>
      <c r="J169" s="38"/>
    </row>
    <row r="170" spans="2:10" x14ac:dyDescent="0.25">
      <c r="H170" s="38"/>
      <c r="I170" s="38"/>
      <c r="J170" s="38"/>
    </row>
    <row r="171" spans="2:10" x14ac:dyDescent="0.25">
      <c r="H171" s="38"/>
      <c r="I171" s="38"/>
      <c r="J171" s="38"/>
    </row>
    <row r="172" spans="2:10" x14ac:dyDescent="0.25">
      <c r="H172" s="38"/>
      <c r="I172" s="38"/>
      <c r="J172" s="38"/>
    </row>
    <row r="173" spans="2:10" x14ac:dyDescent="0.25">
      <c r="H173" s="38"/>
      <c r="I173" s="38"/>
      <c r="J173" s="38"/>
    </row>
    <row r="174" spans="2:10" x14ac:dyDescent="0.25">
      <c r="H174" s="38"/>
      <c r="I174" s="38"/>
      <c r="J174" s="38"/>
    </row>
    <row r="175" spans="2:10" x14ac:dyDescent="0.25">
      <c r="H175" s="38"/>
      <c r="I175" s="38"/>
      <c r="J175" s="38"/>
    </row>
    <row r="176" spans="2:10" x14ac:dyDescent="0.25">
      <c r="H176" s="38"/>
      <c r="I176" s="38"/>
      <c r="J176" s="38"/>
    </row>
    <row r="177" spans="8:10" x14ac:dyDescent="0.25">
      <c r="H177" s="38"/>
      <c r="I177" s="38"/>
      <c r="J177" s="38"/>
    </row>
    <row r="178" spans="8:10" x14ac:dyDescent="0.25">
      <c r="H178" s="38"/>
      <c r="I178" s="38"/>
      <c r="J178" s="38"/>
    </row>
  </sheetData>
  <mergeCells count="145">
    <mergeCell ref="C91:F91"/>
    <mergeCell ref="C101:F101"/>
    <mergeCell ref="C102:F102"/>
    <mergeCell ref="C92:F92"/>
    <mergeCell ref="C93:F93"/>
    <mergeCell ref="C94:F94"/>
    <mergeCell ref="C95:F95"/>
    <mergeCell ref="C96:F96"/>
    <mergeCell ref="C97:F97"/>
    <mergeCell ref="C98:F98"/>
    <mergeCell ref="C99:F99"/>
    <mergeCell ref="C100:F100"/>
    <mergeCell ref="C81:F81"/>
    <mergeCell ref="C82:F82"/>
    <mergeCell ref="C84:F84"/>
    <mergeCell ref="C85:F85"/>
    <mergeCell ref="C86:F86"/>
    <mergeCell ref="C87:F87"/>
    <mergeCell ref="C88:F88"/>
    <mergeCell ref="C89:F89"/>
    <mergeCell ref="C90:F90"/>
    <mergeCell ref="C72:F72"/>
    <mergeCell ref="C73:F73"/>
    <mergeCell ref="C74:F74"/>
    <mergeCell ref="C75:F75"/>
    <mergeCell ref="C76:F76"/>
    <mergeCell ref="C77:F77"/>
    <mergeCell ref="C78:F78"/>
    <mergeCell ref="C79:F79"/>
    <mergeCell ref="C80:F80"/>
    <mergeCell ref="C56:F56"/>
    <mergeCell ref="C57:F57"/>
    <mergeCell ref="C58:F58"/>
    <mergeCell ref="C59:F59"/>
    <mergeCell ref="C61:F61"/>
    <mergeCell ref="C67:F67"/>
    <mergeCell ref="C68:F68"/>
    <mergeCell ref="C69:F69"/>
    <mergeCell ref="C70:F70"/>
    <mergeCell ref="C62:F62"/>
    <mergeCell ref="C63:F63"/>
    <mergeCell ref="C64:F64"/>
    <mergeCell ref="C65:F65"/>
    <mergeCell ref="C66:F66"/>
    <mergeCell ref="C46:F46"/>
    <mergeCell ref="C48:F48"/>
    <mergeCell ref="C49:F49"/>
    <mergeCell ref="C50:F50"/>
    <mergeCell ref="C51:F51"/>
    <mergeCell ref="C52:F52"/>
    <mergeCell ref="C53:F53"/>
    <mergeCell ref="C54:F54"/>
    <mergeCell ref="C55:F55"/>
    <mergeCell ref="C26:F26"/>
    <mergeCell ref="C27:F27"/>
    <mergeCell ref="B8:J8"/>
    <mergeCell ref="C103:F103"/>
    <mergeCell ref="C105:F105"/>
    <mergeCell ref="C106:F106"/>
    <mergeCell ref="C107:F107"/>
    <mergeCell ref="C108:F108"/>
    <mergeCell ref="C10:F10"/>
    <mergeCell ref="C25:F25"/>
    <mergeCell ref="C12:F12"/>
    <mergeCell ref="C13:F13"/>
    <mergeCell ref="C15:F15"/>
    <mergeCell ref="C17:F17"/>
    <mergeCell ref="C18:F18"/>
    <mergeCell ref="C19:F19"/>
    <mergeCell ref="C20:F20"/>
    <mergeCell ref="C21:F21"/>
    <mergeCell ref="C22:F22"/>
    <mergeCell ref="C23:F23"/>
    <mergeCell ref="C24:F24"/>
    <mergeCell ref="C28:F28"/>
    <mergeCell ref="C29:F29"/>
    <mergeCell ref="C30:F30"/>
    <mergeCell ref="C31:F31"/>
    <mergeCell ref="C32:F32"/>
    <mergeCell ref="C113:F113"/>
    <mergeCell ref="C114:F114"/>
    <mergeCell ref="C115:F115"/>
    <mergeCell ref="C117:F117"/>
    <mergeCell ref="C118:F118"/>
    <mergeCell ref="C109:F109"/>
    <mergeCell ref="C104:F104"/>
    <mergeCell ref="C110:F110"/>
    <mergeCell ref="C111:F111"/>
    <mergeCell ref="C112:F112"/>
    <mergeCell ref="C33:F33"/>
    <mergeCell ref="C34:F34"/>
    <mergeCell ref="C36:F36"/>
    <mergeCell ref="C37:F37"/>
    <mergeCell ref="C38:F38"/>
    <mergeCell ref="C39:F39"/>
    <mergeCell ref="C40:F40"/>
    <mergeCell ref="C41:F41"/>
    <mergeCell ref="C42:F42"/>
    <mergeCell ref="C43:F43"/>
    <mergeCell ref="C44:F44"/>
    <mergeCell ref="C45:F45"/>
    <mergeCell ref="C124:F124"/>
    <mergeCell ref="C125:F125"/>
    <mergeCell ref="C126:F126"/>
    <mergeCell ref="C128:F128"/>
    <mergeCell ref="C129:F129"/>
    <mergeCell ref="C119:F119"/>
    <mergeCell ref="C120:F120"/>
    <mergeCell ref="C121:F121"/>
    <mergeCell ref="C122:F122"/>
    <mergeCell ref="C123:F123"/>
    <mergeCell ref="C135:F135"/>
    <mergeCell ref="C136:F136"/>
    <mergeCell ref="C137:F137"/>
    <mergeCell ref="C139:F139"/>
    <mergeCell ref="C140:F140"/>
    <mergeCell ref="C130:F130"/>
    <mergeCell ref="C131:F131"/>
    <mergeCell ref="C132:F132"/>
    <mergeCell ref="C133:F133"/>
    <mergeCell ref="C134:F134"/>
    <mergeCell ref="C14:F14"/>
    <mergeCell ref="C162:F162"/>
    <mergeCell ref="C163:F163"/>
    <mergeCell ref="C16:F16"/>
    <mergeCell ref="C157:F157"/>
    <mergeCell ref="C158:F158"/>
    <mergeCell ref="C159:F159"/>
    <mergeCell ref="C160:F160"/>
    <mergeCell ref="C161:F161"/>
    <mergeCell ref="C151:F151"/>
    <mergeCell ref="C153:F153"/>
    <mergeCell ref="C154:F154"/>
    <mergeCell ref="C155:F155"/>
    <mergeCell ref="C156:F156"/>
    <mergeCell ref="C146:F146"/>
    <mergeCell ref="C147:F147"/>
    <mergeCell ref="C148:F148"/>
    <mergeCell ref="C149:F149"/>
    <mergeCell ref="C150:F150"/>
    <mergeCell ref="C141:F141"/>
    <mergeCell ref="C142:F142"/>
    <mergeCell ref="C143:F143"/>
    <mergeCell ref="C144:F144"/>
    <mergeCell ref="C145:F145"/>
  </mergeCells>
  <phoneticPr fontId="6" type="noConversion"/>
  <pageMargins left="0.511811024" right="0.511811024" top="0.78740157499999996" bottom="0.78740157499999996" header="0.31496062000000002" footer="0.31496062000000002"/>
  <pageSetup paperSize="9" scale="44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44"/>
  <sheetViews>
    <sheetView topLeftCell="A19" zoomScale="160" zoomScaleNormal="160" workbookViewId="0">
      <selection activeCell="I2" sqref="I2"/>
    </sheetView>
  </sheetViews>
  <sheetFormatPr defaultRowHeight="15" x14ac:dyDescent="0.25"/>
  <cols>
    <col min="2" max="2" width="9.140625" style="80"/>
    <col min="3" max="3" width="27.5703125" bestFit="1" customWidth="1"/>
    <col min="4" max="4" width="12.28515625" customWidth="1"/>
    <col min="5" max="5" width="11.85546875" customWidth="1"/>
    <col min="6" max="6" width="12.140625" customWidth="1"/>
  </cols>
  <sheetData>
    <row r="1" spans="2:6" s="38" customFormat="1" x14ac:dyDescent="0.25">
      <c r="B1" s="79"/>
    </row>
    <row r="2" spans="2:6" x14ac:dyDescent="0.25">
      <c r="B2" s="80" t="s">
        <v>0</v>
      </c>
      <c r="C2" t="s">
        <v>1</v>
      </c>
      <c r="D2" t="s">
        <v>450</v>
      </c>
      <c r="E2" t="s">
        <v>451</v>
      </c>
      <c r="F2" t="s">
        <v>452</v>
      </c>
    </row>
    <row r="3" spans="2:6" x14ac:dyDescent="0.25">
      <c r="B3" s="80">
        <v>1</v>
      </c>
      <c r="C3" t="s">
        <v>453</v>
      </c>
      <c r="D3" s="78">
        <v>840</v>
      </c>
      <c r="E3" s="78">
        <v>8</v>
      </c>
      <c r="F3" s="78">
        <f>D3*E3</f>
        <v>6720</v>
      </c>
    </row>
    <row r="4" spans="2:6" x14ac:dyDescent="0.25">
      <c r="B4" s="80">
        <v>2</v>
      </c>
      <c r="C4" t="s">
        <v>454</v>
      </c>
      <c r="D4" s="78">
        <v>720</v>
      </c>
      <c r="E4" s="78">
        <v>7</v>
      </c>
      <c r="F4" s="78">
        <f t="shared" ref="F4:F43" si="0">D4*E4</f>
        <v>5040</v>
      </c>
    </row>
    <row r="5" spans="2:6" x14ac:dyDescent="0.25">
      <c r="B5" s="80">
        <v>3</v>
      </c>
      <c r="C5" t="s">
        <v>455</v>
      </c>
      <c r="D5" s="78">
        <v>618</v>
      </c>
      <c r="E5" s="78">
        <v>7</v>
      </c>
      <c r="F5" s="78">
        <f t="shared" si="0"/>
        <v>4326</v>
      </c>
    </row>
    <row r="6" spans="2:6" x14ac:dyDescent="0.25">
      <c r="B6" s="80">
        <v>4</v>
      </c>
      <c r="C6" t="s">
        <v>456</v>
      </c>
      <c r="D6" s="78">
        <v>664.8</v>
      </c>
      <c r="E6" s="78">
        <v>7</v>
      </c>
      <c r="F6" s="78">
        <f t="shared" si="0"/>
        <v>4653.5999999999995</v>
      </c>
    </row>
    <row r="7" spans="2:6" x14ac:dyDescent="0.25">
      <c r="B7" s="80">
        <v>5</v>
      </c>
      <c r="C7" t="s">
        <v>457</v>
      </c>
      <c r="D7" s="78">
        <v>3397.2</v>
      </c>
      <c r="E7" s="78">
        <v>10</v>
      </c>
      <c r="F7" s="78">
        <f t="shared" si="0"/>
        <v>33972</v>
      </c>
    </row>
    <row r="8" spans="2:6" x14ac:dyDescent="0.25">
      <c r="B8" s="80">
        <v>6</v>
      </c>
      <c r="C8" t="s">
        <v>458</v>
      </c>
      <c r="D8" s="78">
        <v>588</v>
      </c>
      <c r="E8" s="78">
        <v>7</v>
      </c>
      <c r="F8" s="78">
        <f t="shared" si="0"/>
        <v>4116</v>
      </c>
    </row>
    <row r="9" spans="2:6" x14ac:dyDescent="0.25">
      <c r="B9" s="80">
        <v>7</v>
      </c>
      <c r="C9" t="s">
        <v>459</v>
      </c>
      <c r="D9" s="78">
        <v>660</v>
      </c>
      <c r="E9" s="78">
        <v>8</v>
      </c>
      <c r="F9" s="78">
        <f t="shared" si="0"/>
        <v>5280</v>
      </c>
    </row>
    <row r="10" spans="2:6" x14ac:dyDescent="0.25">
      <c r="B10" s="80">
        <v>8</v>
      </c>
      <c r="C10" t="s">
        <v>460</v>
      </c>
      <c r="D10" s="78">
        <v>660</v>
      </c>
      <c r="E10" s="78">
        <v>7</v>
      </c>
      <c r="F10" s="78">
        <f t="shared" si="0"/>
        <v>4620</v>
      </c>
    </row>
    <row r="11" spans="2:6" x14ac:dyDescent="0.25">
      <c r="B11" s="80">
        <v>9</v>
      </c>
      <c r="C11" t="s">
        <v>461</v>
      </c>
      <c r="D11" s="78">
        <v>708</v>
      </c>
      <c r="E11" s="78">
        <v>7</v>
      </c>
      <c r="F11" s="78">
        <f t="shared" si="0"/>
        <v>4956</v>
      </c>
    </row>
    <row r="12" spans="2:6" x14ac:dyDescent="0.25">
      <c r="B12" s="80">
        <v>10</v>
      </c>
      <c r="C12" t="s">
        <v>462</v>
      </c>
      <c r="D12" s="78">
        <v>600</v>
      </c>
      <c r="E12" s="78">
        <v>7</v>
      </c>
      <c r="F12" s="78">
        <f t="shared" si="0"/>
        <v>4200</v>
      </c>
    </row>
    <row r="13" spans="2:6" x14ac:dyDescent="0.25">
      <c r="B13" s="80">
        <v>11</v>
      </c>
      <c r="C13" t="s">
        <v>463</v>
      </c>
      <c r="D13" s="78">
        <v>456</v>
      </c>
      <c r="E13" s="78">
        <v>7</v>
      </c>
      <c r="F13" s="78">
        <f t="shared" si="0"/>
        <v>3192</v>
      </c>
    </row>
    <row r="14" spans="2:6" x14ac:dyDescent="0.25">
      <c r="B14" s="80">
        <v>12</v>
      </c>
      <c r="C14" t="s">
        <v>464</v>
      </c>
      <c r="D14" s="78">
        <v>1260</v>
      </c>
      <c r="E14" s="78">
        <v>8.5</v>
      </c>
      <c r="F14" s="78">
        <f t="shared" si="0"/>
        <v>10710</v>
      </c>
    </row>
    <row r="15" spans="2:6" x14ac:dyDescent="0.25">
      <c r="B15" s="80">
        <v>13</v>
      </c>
      <c r="C15" t="s">
        <v>465</v>
      </c>
      <c r="D15" s="78">
        <v>636</v>
      </c>
      <c r="E15" s="78">
        <v>7</v>
      </c>
      <c r="F15" s="78">
        <f t="shared" si="0"/>
        <v>4452</v>
      </c>
    </row>
    <row r="16" spans="2:6" x14ac:dyDescent="0.25">
      <c r="B16" s="80">
        <v>14</v>
      </c>
      <c r="C16" t="s">
        <v>466</v>
      </c>
      <c r="D16" s="78">
        <v>660</v>
      </c>
      <c r="E16" s="78">
        <v>9</v>
      </c>
      <c r="F16" s="78">
        <f t="shared" si="0"/>
        <v>5940</v>
      </c>
    </row>
    <row r="17" spans="2:6" x14ac:dyDescent="0.25">
      <c r="B17" s="80">
        <v>15</v>
      </c>
      <c r="C17" t="s">
        <v>467</v>
      </c>
      <c r="D17" s="78">
        <v>780</v>
      </c>
      <c r="E17" s="78">
        <v>9</v>
      </c>
      <c r="F17" s="78">
        <f t="shared" si="0"/>
        <v>7020</v>
      </c>
    </row>
    <row r="18" spans="2:6" x14ac:dyDescent="0.25">
      <c r="B18" s="80">
        <v>16</v>
      </c>
      <c r="C18" t="s">
        <v>468</v>
      </c>
      <c r="D18" s="78">
        <v>924</v>
      </c>
      <c r="E18" s="78">
        <v>7</v>
      </c>
      <c r="F18" s="78">
        <f t="shared" si="0"/>
        <v>6468</v>
      </c>
    </row>
    <row r="19" spans="2:6" x14ac:dyDescent="0.25">
      <c r="B19" s="80">
        <v>17</v>
      </c>
      <c r="C19" t="s">
        <v>469</v>
      </c>
      <c r="D19" s="78">
        <v>660</v>
      </c>
      <c r="E19" s="78">
        <v>7</v>
      </c>
      <c r="F19" s="78">
        <f t="shared" si="0"/>
        <v>4620</v>
      </c>
    </row>
    <row r="20" spans="2:6" x14ac:dyDescent="0.25">
      <c r="B20" s="80">
        <v>18</v>
      </c>
      <c r="C20" t="s">
        <v>470</v>
      </c>
      <c r="D20" s="78">
        <v>828</v>
      </c>
      <c r="E20" s="78">
        <v>7</v>
      </c>
      <c r="F20" s="78">
        <f t="shared" si="0"/>
        <v>5796</v>
      </c>
    </row>
    <row r="21" spans="2:6" x14ac:dyDescent="0.25">
      <c r="B21" s="80">
        <v>19</v>
      </c>
      <c r="C21" t="s">
        <v>471</v>
      </c>
      <c r="D21" s="78">
        <v>132</v>
      </c>
      <c r="E21" s="78">
        <v>7</v>
      </c>
      <c r="F21" s="78">
        <f t="shared" si="0"/>
        <v>924</v>
      </c>
    </row>
    <row r="22" spans="2:6" x14ac:dyDescent="0.25">
      <c r="B22" s="80">
        <v>20</v>
      </c>
      <c r="C22" t="s">
        <v>472</v>
      </c>
      <c r="D22" s="78">
        <v>720</v>
      </c>
      <c r="E22" s="78">
        <v>7</v>
      </c>
      <c r="F22" s="78">
        <f t="shared" si="0"/>
        <v>5040</v>
      </c>
    </row>
    <row r="23" spans="2:6" x14ac:dyDescent="0.25">
      <c r="B23" s="80">
        <v>21</v>
      </c>
      <c r="C23" t="s">
        <v>473</v>
      </c>
      <c r="D23" s="78">
        <v>708</v>
      </c>
      <c r="E23" s="78">
        <v>7</v>
      </c>
      <c r="F23" s="78">
        <f t="shared" si="0"/>
        <v>4956</v>
      </c>
    </row>
    <row r="24" spans="2:6" x14ac:dyDescent="0.25">
      <c r="B24" s="80">
        <v>22</v>
      </c>
      <c r="C24" t="s">
        <v>474</v>
      </c>
      <c r="D24" s="78">
        <v>360</v>
      </c>
      <c r="E24" s="78">
        <v>7</v>
      </c>
      <c r="F24" s="78">
        <f t="shared" si="0"/>
        <v>2520</v>
      </c>
    </row>
    <row r="25" spans="2:6" x14ac:dyDescent="0.25">
      <c r="B25" s="80">
        <v>23</v>
      </c>
      <c r="C25" t="s">
        <v>475</v>
      </c>
      <c r="D25" s="78">
        <v>1008</v>
      </c>
      <c r="E25" s="78">
        <v>8</v>
      </c>
      <c r="F25" s="78">
        <f t="shared" si="0"/>
        <v>8064</v>
      </c>
    </row>
    <row r="26" spans="2:6" x14ac:dyDescent="0.25">
      <c r="B26" s="80">
        <v>24</v>
      </c>
      <c r="C26" t="s">
        <v>476</v>
      </c>
      <c r="D26" s="78">
        <v>1410</v>
      </c>
      <c r="E26" s="78">
        <v>7.5</v>
      </c>
      <c r="F26" s="78">
        <f t="shared" si="0"/>
        <v>10575</v>
      </c>
    </row>
    <row r="27" spans="2:6" x14ac:dyDescent="0.25">
      <c r="B27" s="80">
        <v>25</v>
      </c>
      <c r="C27" t="s">
        <v>477</v>
      </c>
      <c r="D27" s="78">
        <v>1278</v>
      </c>
      <c r="E27" s="78">
        <v>8</v>
      </c>
      <c r="F27" s="78">
        <f t="shared" si="0"/>
        <v>10224</v>
      </c>
    </row>
    <row r="28" spans="2:6" x14ac:dyDescent="0.25">
      <c r="B28" s="80">
        <v>26</v>
      </c>
      <c r="C28" t="s">
        <v>478</v>
      </c>
      <c r="D28" s="78">
        <v>540</v>
      </c>
      <c r="E28" s="78">
        <v>7</v>
      </c>
      <c r="F28" s="78">
        <f t="shared" si="0"/>
        <v>3780</v>
      </c>
    </row>
    <row r="29" spans="2:6" x14ac:dyDescent="0.25">
      <c r="B29" s="80">
        <v>27</v>
      </c>
      <c r="C29" t="s">
        <v>479</v>
      </c>
      <c r="D29" s="78">
        <v>780</v>
      </c>
      <c r="E29" s="78">
        <v>7</v>
      </c>
      <c r="F29" s="78">
        <f t="shared" si="0"/>
        <v>5460</v>
      </c>
    </row>
    <row r="30" spans="2:6" x14ac:dyDescent="0.25">
      <c r="B30" s="80">
        <v>28</v>
      </c>
      <c r="C30" t="s">
        <v>480</v>
      </c>
      <c r="D30" s="78">
        <v>744</v>
      </c>
      <c r="E30" s="78">
        <v>9</v>
      </c>
      <c r="F30" s="78">
        <f t="shared" si="0"/>
        <v>6696</v>
      </c>
    </row>
    <row r="31" spans="2:6" x14ac:dyDescent="0.25">
      <c r="B31" s="80">
        <v>29</v>
      </c>
      <c r="C31" t="s">
        <v>481</v>
      </c>
      <c r="D31" s="78">
        <v>540</v>
      </c>
      <c r="E31" s="78">
        <v>7</v>
      </c>
      <c r="F31" s="78">
        <f t="shared" si="0"/>
        <v>3780</v>
      </c>
    </row>
    <row r="32" spans="2:6" x14ac:dyDescent="0.25">
      <c r="B32" s="80">
        <v>30</v>
      </c>
      <c r="C32" t="s">
        <v>482</v>
      </c>
      <c r="D32" s="78">
        <v>546</v>
      </c>
      <c r="E32" s="78">
        <v>7</v>
      </c>
      <c r="F32" s="78">
        <f t="shared" si="0"/>
        <v>3822</v>
      </c>
    </row>
    <row r="33" spans="2:6" x14ac:dyDescent="0.25">
      <c r="B33" s="80">
        <v>31</v>
      </c>
      <c r="C33" t="s">
        <v>483</v>
      </c>
      <c r="D33" s="78">
        <v>903.6</v>
      </c>
      <c r="E33" s="78">
        <v>7</v>
      </c>
      <c r="F33" s="78">
        <f t="shared" si="0"/>
        <v>6325.2</v>
      </c>
    </row>
    <row r="34" spans="2:6" x14ac:dyDescent="0.25">
      <c r="B34" s="80">
        <v>32</v>
      </c>
      <c r="C34" t="s">
        <v>484</v>
      </c>
      <c r="D34" s="78">
        <v>540</v>
      </c>
      <c r="E34" s="78">
        <v>7</v>
      </c>
      <c r="F34" s="78">
        <f t="shared" si="0"/>
        <v>3780</v>
      </c>
    </row>
    <row r="35" spans="2:6" x14ac:dyDescent="0.25">
      <c r="B35" s="80">
        <v>33</v>
      </c>
      <c r="C35" t="s">
        <v>485</v>
      </c>
      <c r="D35" s="78">
        <v>216</v>
      </c>
      <c r="E35" s="78">
        <v>7</v>
      </c>
      <c r="F35" s="78">
        <f t="shared" si="0"/>
        <v>1512</v>
      </c>
    </row>
    <row r="36" spans="2:6" x14ac:dyDescent="0.25">
      <c r="B36" s="80">
        <v>34</v>
      </c>
      <c r="C36" t="s">
        <v>486</v>
      </c>
      <c r="D36" s="78">
        <v>216</v>
      </c>
      <c r="E36" s="78">
        <v>7</v>
      </c>
      <c r="F36" s="78">
        <f t="shared" si="0"/>
        <v>1512</v>
      </c>
    </row>
    <row r="37" spans="2:6" x14ac:dyDescent="0.25">
      <c r="B37" s="80">
        <v>35</v>
      </c>
      <c r="C37" t="s">
        <v>487</v>
      </c>
      <c r="D37" s="78">
        <v>264</v>
      </c>
      <c r="E37" s="78">
        <v>7</v>
      </c>
      <c r="F37" s="78">
        <f t="shared" si="0"/>
        <v>1848</v>
      </c>
    </row>
    <row r="38" spans="2:6" x14ac:dyDescent="0.25">
      <c r="B38" s="80">
        <v>36</v>
      </c>
      <c r="C38" t="s">
        <v>488</v>
      </c>
      <c r="D38" s="78">
        <v>264</v>
      </c>
      <c r="E38" s="78">
        <v>7</v>
      </c>
      <c r="F38" s="78">
        <f t="shared" si="0"/>
        <v>1848</v>
      </c>
    </row>
    <row r="39" spans="2:6" x14ac:dyDescent="0.25">
      <c r="B39" s="80">
        <v>37</v>
      </c>
      <c r="C39" t="s">
        <v>489</v>
      </c>
      <c r="D39" s="78">
        <v>510</v>
      </c>
      <c r="E39" s="78">
        <v>7</v>
      </c>
      <c r="F39" s="78">
        <f t="shared" si="0"/>
        <v>3570</v>
      </c>
    </row>
    <row r="40" spans="2:6" x14ac:dyDescent="0.25">
      <c r="B40" s="80">
        <v>38</v>
      </c>
      <c r="C40" t="s">
        <v>490</v>
      </c>
      <c r="D40" s="78">
        <v>438</v>
      </c>
      <c r="E40" s="78">
        <v>7</v>
      </c>
      <c r="F40" s="78">
        <f t="shared" si="0"/>
        <v>3066</v>
      </c>
    </row>
    <row r="41" spans="2:6" x14ac:dyDescent="0.25">
      <c r="B41" s="80">
        <v>39</v>
      </c>
      <c r="C41" t="s">
        <v>491</v>
      </c>
      <c r="D41" s="78">
        <v>384</v>
      </c>
      <c r="E41" s="78">
        <v>12</v>
      </c>
      <c r="F41" s="78">
        <f t="shared" si="0"/>
        <v>4608</v>
      </c>
    </row>
    <row r="42" spans="2:6" x14ac:dyDescent="0.25">
      <c r="B42" s="80">
        <v>40</v>
      </c>
      <c r="C42" t="s">
        <v>492</v>
      </c>
      <c r="D42" s="78">
        <v>264</v>
      </c>
      <c r="E42" s="78">
        <v>12</v>
      </c>
      <c r="F42" s="78">
        <f t="shared" si="0"/>
        <v>3168</v>
      </c>
    </row>
    <row r="43" spans="2:6" x14ac:dyDescent="0.25">
      <c r="B43" s="80">
        <v>41</v>
      </c>
      <c r="C43" t="s">
        <v>493</v>
      </c>
      <c r="D43" s="78">
        <v>552</v>
      </c>
      <c r="E43" s="78">
        <v>10</v>
      </c>
      <c r="F43" s="78">
        <f t="shared" si="0"/>
        <v>5520</v>
      </c>
    </row>
    <row r="44" spans="2:6" x14ac:dyDescent="0.25">
      <c r="D44" s="51">
        <f>SUM(D3:D43)</f>
        <v>28977.599999999999</v>
      </c>
      <c r="F44" s="51">
        <f>SUM(F3:F43)</f>
        <v>228679.80000000002</v>
      </c>
    </row>
  </sheetData>
  <pageMargins left="0.511811024" right="0.511811024" top="0.78740157499999996" bottom="0.78740157499999996" header="0.31496062000000002" footer="0.31496062000000002"/>
  <pageSetup paperSize="9" orientation="portrait" horizontalDpi="0" verticalDpi="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8</vt:i4>
      </vt:variant>
      <vt:variant>
        <vt:lpstr>Intervalos nomeados</vt:lpstr>
      </vt:variant>
      <vt:variant>
        <vt:i4>7</vt:i4>
      </vt:variant>
    </vt:vector>
  </HeadingPairs>
  <TitlesOfParts>
    <vt:vector size="15" baseType="lpstr">
      <vt:lpstr>CAPA </vt:lpstr>
      <vt:lpstr>RESUMO</vt:lpstr>
      <vt:lpstr>PL-ORÇ (2)</vt:lpstr>
      <vt:lpstr>COMP. CUST</vt:lpstr>
      <vt:lpstr>CRON.</vt:lpstr>
      <vt:lpstr>BDI</vt:lpstr>
      <vt:lpstr>MEM. CALC</vt:lpstr>
      <vt:lpstr>RUAS </vt:lpstr>
      <vt:lpstr>BDI!Area_de_impressao</vt:lpstr>
      <vt:lpstr>'CAPA '!Area_de_impressao</vt:lpstr>
      <vt:lpstr>'COMP. CUST'!Area_de_impressao</vt:lpstr>
      <vt:lpstr>CRON.!Area_de_impressao</vt:lpstr>
      <vt:lpstr>'MEM. CALC'!Area_de_impressao</vt:lpstr>
      <vt:lpstr>'PL-ORÇ (2)'!Area_de_impressao</vt:lpstr>
      <vt:lpstr>RESUMO!Area_de_impressao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Alexandre Cavalcante</dc:creator>
  <cp:lastModifiedBy>PC</cp:lastModifiedBy>
  <cp:lastPrinted>2023-09-07T16:12:13Z</cp:lastPrinted>
  <dcterms:created xsi:type="dcterms:W3CDTF">2022-02-21T20:16:48Z</dcterms:created>
  <dcterms:modified xsi:type="dcterms:W3CDTF">2023-10-11T13:41:55Z</dcterms:modified>
</cp:coreProperties>
</file>